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60" windowWidth="24240" windowHeight="12375"/>
  </bookViews>
  <sheets>
    <sheet name="Лист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S274" i="1"/>
  <c r="S296"/>
  <c r="S262"/>
  <c r="S146"/>
  <c r="S126"/>
  <c r="S399"/>
  <c r="S373"/>
  <c r="S372"/>
  <c r="S351"/>
  <c r="S333"/>
  <c r="S327"/>
  <c r="S317"/>
  <c r="S318"/>
  <c r="S315"/>
  <c r="S308"/>
  <c r="S297"/>
  <c r="S273"/>
  <c r="S266"/>
  <c r="S263"/>
  <c r="S271"/>
  <c r="S268"/>
  <c r="S255"/>
  <c r="R249"/>
  <c r="S213"/>
  <c r="S120"/>
  <c r="S121"/>
  <c r="S113"/>
  <c r="S42"/>
  <c r="S404"/>
  <c r="S395"/>
  <c r="S377"/>
  <c r="S348"/>
  <c r="S376"/>
  <c r="S332"/>
  <c r="S331"/>
  <c r="S306"/>
  <c r="S291"/>
  <c r="S283"/>
  <c r="S284"/>
  <c r="S279"/>
  <c r="S269"/>
  <c r="S229"/>
  <c r="S209"/>
  <c r="S225"/>
  <c r="S220"/>
  <c r="S219"/>
  <c r="S217"/>
  <c r="R468"/>
  <c r="R467"/>
  <c r="R466"/>
  <c r="R465"/>
  <c r="R464"/>
  <c r="R463"/>
  <c r="R461"/>
  <c r="R462"/>
  <c r="R341" l="1"/>
  <c r="S355"/>
  <c r="S338"/>
  <c r="S319"/>
  <c r="S320"/>
  <c r="S316"/>
  <c r="S305"/>
  <c r="S295"/>
  <c r="S293"/>
  <c r="S282"/>
  <c r="S258"/>
  <c r="S290"/>
  <c r="S254"/>
  <c r="S227"/>
  <c r="S210"/>
  <c r="S244"/>
  <c r="S240"/>
  <c r="S233"/>
  <c r="S161"/>
  <c r="S154"/>
  <c r="S97"/>
  <c r="S59"/>
  <c r="S54"/>
  <c r="S56"/>
  <c r="S51"/>
  <c r="R460"/>
  <c r="R459"/>
  <c r="R458"/>
  <c r="R457"/>
  <c r="R456"/>
  <c r="R455"/>
  <c r="R454"/>
  <c r="R453"/>
  <c r="R452"/>
  <c r="R451"/>
  <c r="R450"/>
  <c r="R449"/>
  <c r="R448"/>
  <c r="R447"/>
  <c r="R446"/>
  <c r="R445"/>
  <c r="R444"/>
  <c r="R443"/>
  <c r="S272" l="1"/>
  <c r="S246"/>
  <c r="S96"/>
  <c r="S294"/>
  <c r="R308"/>
  <c r="R442"/>
  <c r="R441"/>
  <c r="R440"/>
  <c r="R439"/>
  <c r="R438"/>
  <c r="R437"/>
  <c r="R436"/>
  <c r="R435"/>
  <c r="R434"/>
  <c r="R433"/>
  <c r="R432"/>
  <c r="R431"/>
  <c r="R430"/>
  <c r="R429"/>
  <c r="R428"/>
  <c r="R427"/>
  <c r="R213"/>
  <c r="R284"/>
  <c r="R426"/>
  <c r="R425"/>
  <c r="R424"/>
  <c r="R423"/>
  <c r="R422"/>
  <c r="R421"/>
  <c r="R420"/>
  <c r="R419"/>
  <c r="R418"/>
  <c r="R417"/>
  <c r="S311" l="1"/>
  <c r="S261"/>
  <c r="S277"/>
  <c r="S257"/>
  <c r="S235"/>
  <c r="R416"/>
  <c r="R414"/>
  <c r="R415"/>
  <c r="R403" l="1"/>
  <c r="R404"/>
  <c r="R407"/>
  <c r="R405"/>
  <c r="R406"/>
  <c r="R410"/>
  <c r="R409"/>
  <c r="R413"/>
  <c r="R412"/>
  <c r="R411"/>
  <c r="R408"/>
  <c r="R402" l="1"/>
  <c r="R401"/>
  <c r="R400"/>
  <c r="R399"/>
  <c r="R398"/>
  <c r="S309"/>
  <c r="S259"/>
  <c r="S251"/>
  <c r="S222"/>
  <c r="S202"/>
  <c r="S199"/>
  <c r="S276"/>
  <c r="S281"/>
  <c r="S232"/>
  <c r="S171"/>
  <c r="S169"/>
  <c r="S168"/>
  <c r="S159"/>
  <c r="S128"/>
  <c r="S129"/>
  <c r="S114"/>
  <c r="S111"/>
  <c r="S93"/>
  <c r="R390"/>
  <c r="R395"/>
  <c r="R396"/>
  <c r="R397"/>
  <c r="R392"/>
  <c r="R391"/>
  <c r="R393"/>
  <c r="R394"/>
  <c r="R388"/>
  <c r="R389"/>
  <c r="R387"/>
  <c r="R386"/>
  <c r="R385"/>
  <c r="R384"/>
  <c r="R383" l="1"/>
  <c r="R382"/>
  <c r="R381"/>
  <c r="R380"/>
  <c r="R379"/>
  <c r="R378"/>
  <c r="R353"/>
  <c r="R285"/>
  <c r="R281"/>
  <c r="R366"/>
  <c r="R365"/>
  <c r="R369"/>
  <c r="R363"/>
  <c r="R364"/>
  <c r="R367"/>
  <c r="R368"/>
  <c r="R348"/>
  <c r="R351"/>
  <c r="R349"/>
  <c r="R358"/>
  <c r="R357"/>
  <c r="R354"/>
  <c r="R355"/>
  <c r="R338"/>
  <c r="R360"/>
  <c r="R362"/>
  <c r="R356"/>
  <c r="R335"/>
  <c r="R359"/>
  <c r="R350"/>
  <c r="R361"/>
  <c r="R333"/>
  <c r="R352"/>
  <c r="R346"/>
  <c r="R347"/>
  <c r="R342"/>
  <c r="R339"/>
  <c r="R340"/>
  <c r="R336"/>
  <c r="R334"/>
  <c r="R337"/>
  <c r="R331"/>
  <c r="R344"/>
  <c r="R345"/>
  <c r="R343"/>
  <c r="R324"/>
  <c r="R329"/>
  <c r="R323"/>
  <c r="R322"/>
  <c r="R321"/>
  <c r="R325"/>
  <c r="R328"/>
  <c r="R327"/>
  <c r="R326"/>
  <c r="R311"/>
  <c r="R320"/>
  <c r="R314"/>
  <c r="R312"/>
  <c r="R313"/>
  <c r="R310"/>
  <c r="R305"/>
  <c r="R306"/>
  <c r="R304"/>
  <c r="R303"/>
  <c r="R295"/>
  <c r="R307"/>
  <c r="R301"/>
  <c r="R300"/>
  <c r="R302"/>
  <c r="R299"/>
  <c r="R298"/>
  <c r="R309"/>
  <c r="R297"/>
  <c r="R296"/>
  <c r="R289"/>
  <c r="R288"/>
  <c r="R280"/>
  <c r="R287"/>
  <c r="R286"/>
  <c r="R278"/>
  <c r="R279"/>
  <c r="R266"/>
  <c r="R265"/>
  <c r="R290"/>
  <c r="R255"/>
  <c r="R374"/>
  <c r="R373"/>
  <c r="R372"/>
  <c r="R371"/>
  <c r="R370"/>
  <c r="R375"/>
  <c r="R377"/>
  <c r="R376"/>
  <c r="S252" l="1"/>
  <c r="S239"/>
  <c r="S236"/>
  <c r="S205"/>
  <c r="S189"/>
  <c r="S174"/>
  <c r="S175"/>
  <c r="S145"/>
  <c r="S141"/>
  <c r="S106"/>
  <c r="S94"/>
  <c r="S241" l="1"/>
  <c r="S176"/>
  <c r="S179"/>
  <c r="S105"/>
  <c r="S196"/>
  <c r="S200"/>
  <c r="S238"/>
  <c r="R332"/>
  <c r="R330"/>
  <c r="S228" l="1"/>
  <c r="R319"/>
  <c r="R318"/>
  <c r="R317"/>
  <c r="R315" l="1"/>
  <c r="R316"/>
  <c r="S245" l="1"/>
  <c r="S237"/>
  <c r="S231"/>
  <c r="S221"/>
  <c r="S193"/>
  <c r="S147"/>
  <c r="S173" l="1"/>
  <c r="S211"/>
  <c r="R294"/>
  <c r="R293"/>
  <c r="R292"/>
  <c r="R291"/>
  <c r="R260" l="1"/>
  <c r="S223"/>
  <c r="S184"/>
  <c r="S185"/>
  <c r="S142"/>
  <c r="S24"/>
  <c r="S197"/>
  <c r="S198"/>
  <c r="R283"/>
  <c r="R282"/>
  <c r="R272" l="1"/>
  <c r="R263"/>
  <c r="R271"/>
  <c r="R264"/>
  <c r="R270"/>
  <c r="R268"/>
  <c r="R267"/>
  <c r="R269"/>
  <c r="R257"/>
  <c r="R276"/>
  <c r="R262"/>
  <c r="R274"/>
  <c r="R273"/>
  <c r="R258"/>
  <c r="R275"/>
  <c r="R261"/>
  <c r="R277"/>
  <c r="R259"/>
  <c r="R256"/>
  <c r="S163" l="1"/>
  <c r="S131"/>
  <c r="S98"/>
  <c r="R254"/>
  <c r="R251" l="1"/>
  <c r="R253"/>
  <c r="R252"/>
  <c r="S224" l="1"/>
  <c r="S166"/>
  <c r="S144"/>
  <c r="S127"/>
  <c r="S66"/>
  <c r="S52"/>
  <c r="S45"/>
  <c r="S43"/>
  <c r="R250"/>
  <c r="S195"/>
  <c r="R248"/>
  <c r="S218"/>
  <c r="S216"/>
  <c r="S186"/>
  <c r="S187"/>
  <c r="S164"/>
  <c r="S165"/>
  <c r="S125"/>
  <c r="R247"/>
  <c r="R246"/>
  <c r="R245" l="1"/>
  <c r="R244"/>
  <c r="R243"/>
  <c r="S212" l="1"/>
  <c r="S203"/>
  <c r="S135"/>
  <c r="R242"/>
  <c r="R241" l="1"/>
  <c r="R240"/>
  <c r="R239"/>
  <c r="R238"/>
  <c r="S75"/>
  <c r="S68"/>
  <c r="R237"/>
  <c r="R236"/>
  <c r="S136" l="1"/>
  <c r="S204"/>
  <c r="S65"/>
  <c r="S167"/>
  <c r="S155"/>
  <c r="S158"/>
  <c r="S110"/>
  <c r="S100"/>
  <c r="R235"/>
  <c r="S34" l="1"/>
  <c r="S58"/>
  <c r="R229"/>
  <c r="R230"/>
  <c r="R233"/>
  <c r="R234"/>
  <c r="R232"/>
  <c r="R231"/>
  <c r="S99" l="1"/>
  <c r="S112"/>
  <c r="S115"/>
  <c r="S149"/>
  <c r="S178"/>
  <c r="R222"/>
  <c r="S50"/>
  <c r="S109"/>
  <c r="S119"/>
  <c r="S177"/>
  <c r="R228"/>
  <c r="R227"/>
  <c r="R226"/>
  <c r="R224" l="1"/>
  <c r="R223"/>
  <c r="R225"/>
  <c r="S170"/>
  <c r="S157"/>
  <c r="S156"/>
  <c r="S152"/>
  <c r="S143"/>
  <c r="S137"/>
  <c r="S132"/>
  <c r="S122"/>
  <c r="S124"/>
  <c r="S92"/>
  <c r="S80"/>
  <c r="S79"/>
  <c r="S78"/>
  <c r="S70"/>
  <c r="S37"/>
  <c r="R221" l="1"/>
  <c r="R220"/>
  <c r="R219"/>
  <c r="R216"/>
  <c r="R217"/>
  <c r="R218"/>
  <c r="R186" l="1"/>
  <c r="R187"/>
  <c r="R214" l="1"/>
  <c r="R215"/>
  <c r="R212"/>
  <c r="R211"/>
  <c r="R210"/>
  <c r="R209"/>
  <c r="R195"/>
  <c r="R193"/>
  <c r="R194" l="1"/>
  <c r="R205"/>
  <c r="R207"/>
  <c r="R206"/>
  <c r="R208"/>
  <c r="R203"/>
  <c r="R202"/>
  <c r="R199"/>
  <c r="R196"/>
  <c r="R197"/>
  <c r="R200"/>
  <c r="R198"/>
  <c r="R204"/>
  <c r="R201"/>
  <c r="S118"/>
  <c r="S101"/>
  <c r="S85"/>
  <c r="S84"/>
  <c r="S82"/>
  <c r="S81"/>
  <c r="S49"/>
  <c r="R192"/>
  <c r="R189"/>
  <c r="R191"/>
  <c r="R188"/>
  <c r="R190"/>
  <c r="R185" l="1"/>
  <c r="R179" l="1"/>
  <c r="R178"/>
  <c r="R177"/>
  <c r="S148"/>
  <c r="S140"/>
  <c r="S123"/>
  <c r="S76"/>
  <c r="S53"/>
  <c r="S39"/>
  <c r="S38"/>
  <c r="S22"/>
  <c r="R180"/>
  <c r="R181"/>
  <c r="R182"/>
  <c r="R183"/>
  <c r="R184"/>
  <c r="S116"/>
  <c r="S108"/>
  <c r="S103"/>
  <c r="S83"/>
  <c r="S88"/>
  <c r="S74"/>
  <c r="S40"/>
  <c r="S26"/>
  <c r="S25"/>
  <c r="S23"/>
  <c r="S21"/>
  <c r="S20"/>
  <c r="R176"/>
  <c r="R175"/>
  <c r="R174"/>
  <c r="R173" l="1"/>
  <c r="R172"/>
  <c r="R171"/>
  <c r="R170" l="1"/>
  <c r="R169"/>
  <c r="R168" l="1"/>
  <c r="R164" l="1"/>
  <c r="R165"/>
  <c r="R167"/>
  <c r="R166"/>
  <c r="R163" l="1"/>
  <c r="R162"/>
  <c r="R161"/>
  <c r="R160" l="1"/>
  <c r="R159"/>
  <c r="R158"/>
  <c r="R138"/>
  <c r="R139"/>
  <c r="S95"/>
  <c r="S86"/>
  <c r="S73"/>
  <c r="S46"/>
  <c r="R157"/>
  <c r="R156"/>
  <c r="R155"/>
  <c r="R154"/>
  <c r="R153"/>
  <c r="R152" l="1"/>
  <c r="R151"/>
  <c r="R150"/>
  <c r="R148" l="1"/>
  <c r="R149"/>
  <c r="S107" l="1"/>
  <c r="S61"/>
  <c r="S44"/>
  <c r="R143" l="1"/>
  <c r="R146"/>
  <c r="R145"/>
  <c r="R144"/>
  <c r="R140" l="1"/>
  <c r="R142"/>
  <c r="R141"/>
  <c r="S60" l="1"/>
  <c r="S27"/>
  <c r="S102"/>
  <c r="S71"/>
  <c r="S55"/>
  <c r="S47"/>
  <c r="R137" l="1"/>
  <c r="R136"/>
  <c r="S77" l="1"/>
  <c r="S33"/>
  <c r="S90"/>
  <c r="R135"/>
  <c r="R134"/>
  <c r="R133" l="1"/>
  <c r="R132"/>
  <c r="S29" l="1"/>
  <c r="R131" l="1"/>
  <c r="R130"/>
  <c r="R129" l="1"/>
  <c r="R128"/>
  <c r="R127" l="1"/>
  <c r="R126"/>
  <c r="R125" l="1"/>
  <c r="R124"/>
  <c r="R123" l="1"/>
  <c r="R122" l="1"/>
  <c r="R121" l="1"/>
  <c r="R120"/>
  <c r="R117" l="1"/>
  <c r="R119" l="1"/>
  <c r="R118"/>
  <c r="R106" l="1"/>
  <c r="S63" l="1"/>
  <c r="S19"/>
  <c r="S17" l="1"/>
  <c r="S48"/>
  <c r="S32"/>
  <c r="S15"/>
  <c r="S16"/>
  <c r="R116" l="1"/>
  <c r="R113" l="1"/>
  <c r="R115" l="1"/>
  <c r="S35" l="1"/>
  <c r="S30"/>
  <c r="R114" l="1"/>
  <c r="R110" l="1"/>
  <c r="R111"/>
  <c r="R112"/>
  <c r="S62" l="1"/>
  <c r="R108"/>
  <c r="R109" l="1"/>
  <c r="R107" l="1"/>
  <c r="R105" l="1"/>
  <c r="R104"/>
  <c r="R103" l="1"/>
  <c r="R102" l="1"/>
  <c r="S36" l="1"/>
  <c r="R101"/>
  <c r="R100"/>
  <c r="R99"/>
  <c r="R98"/>
  <c r="R97" l="1"/>
  <c r="R96" l="1"/>
  <c r="R95" l="1"/>
  <c r="R94" l="1"/>
  <c r="S31" l="1"/>
  <c r="R93" l="1"/>
  <c r="R92"/>
  <c r="R91" l="1"/>
  <c r="R90" l="1"/>
  <c r="R57" l="1"/>
  <c r="R63"/>
  <c r="R73"/>
  <c r="R71"/>
  <c r="R62"/>
  <c r="R70"/>
  <c r="S72" l="1"/>
  <c r="S12"/>
  <c r="R89" l="1"/>
  <c r="S18" l="1"/>
  <c r="R64" l="1"/>
  <c r="R65" l="1"/>
  <c r="S10" l="1"/>
  <c r="S11"/>
  <c r="S14"/>
  <c r="S13"/>
  <c r="R88"/>
  <c r="R87"/>
  <c r="R86"/>
  <c r="R85" l="1"/>
  <c r="R84"/>
  <c r="R83"/>
  <c r="R82"/>
  <c r="R81"/>
  <c r="R80"/>
  <c r="R79"/>
  <c r="R78"/>
  <c r="R77" l="1"/>
  <c r="R76" l="1"/>
  <c r="R75"/>
  <c r="R28" l="1"/>
  <c r="R29"/>
  <c r="R30"/>
  <c r="R31"/>
  <c r="R32"/>
  <c r="R35"/>
  <c r="R36"/>
  <c r="R41"/>
  <c r="R48"/>
  <c r="R51"/>
  <c r="R52"/>
  <c r="R53"/>
  <c r="R69"/>
  <c r="R72"/>
  <c r="R74"/>
  <c r="R68" l="1"/>
  <c r="R67"/>
  <c r="R66"/>
  <c r="R58"/>
  <c r="R60" l="1"/>
  <c r="R59"/>
  <c r="R61"/>
  <c r="R56" l="1"/>
  <c r="R55" l="1"/>
  <c r="R54" l="1"/>
  <c r="R50" l="1"/>
  <c r="R49"/>
  <c r="R45" l="1"/>
  <c r="R46"/>
  <c r="R47"/>
  <c r="R44" l="1"/>
  <c r="R43"/>
  <c r="R42" l="1"/>
  <c r="R39" l="1"/>
  <c r="R40"/>
  <c r="R37" l="1"/>
  <c r="R38"/>
  <c r="R34"/>
  <c r="R33"/>
  <c r="R27" l="1"/>
  <c r="R26" l="1"/>
  <c r="R25"/>
  <c r="R24"/>
  <c r="R23"/>
  <c r="R22"/>
  <c r="R21"/>
  <c r="R20"/>
  <c r="R19" l="1"/>
  <c r="R16" l="1"/>
  <c r="R18"/>
  <c r="R17"/>
  <c r="R15" l="1"/>
  <c r="R14" l="1"/>
  <c r="R13"/>
  <c r="R12"/>
  <c r="R11"/>
  <c r="R10" l="1"/>
</calcChain>
</file>

<file path=xl/sharedStrings.xml><?xml version="1.0" encoding="utf-8"?>
<sst xmlns="http://schemas.openxmlformats.org/spreadsheetml/2006/main" count="4607" uniqueCount="2237">
  <si>
    <t>№ реестровой записи</t>
  </si>
  <si>
    <t>Наименование заказчика</t>
  </si>
  <si>
    <t>Источник финансирования</t>
  </si>
  <si>
    <t>Способ определения подрядной организации</t>
  </si>
  <si>
    <t>Дата решения о включении в реестр</t>
  </si>
  <si>
    <t>Цена договора</t>
  </si>
  <si>
    <t>Срок исполнения договора</t>
  </si>
  <si>
    <t>Наименование, фирменное наименование (при наличии)/ фамилия, имя, отчество (при наличии) подрядчика</t>
  </si>
  <si>
    <t xml:space="preserve">Идентификационный номер налогоплательщика </t>
  </si>
  <si>
    <t xml:space="preserve">Информация об изменении договора </t>
  </si>
  <si>
    <t xml:space="preserve">Копия заключенного договора </t>
  </si>
  <si>
    <t>Информация об исполнении договора</t>
  </si>
  <si>
    <t>Информация о расторжении договора</t>
  </si>
  <si>
    <t>Документ о приемке</t>
  </si>
  <si>
    <t xml:space="preserve">Адрес/место жительства подрядчика </t>
  </si>
  <si>
    <t xml:space="preserve">Приложение № 3
к приказу ДЖКХ администрации Владимирской области 
от «15» сентября 2016 года №72
</t>
  </si>
  <si>
    <t xml:space="preserve">Реестр договоров
заключенных некоммерческой организацией «Фонд капитального ремонта многоквартирных домов Владимирской области»
</t>
  </si>
  <si>
    <t>1 352 710,64</t>
  </si>
  <si>
    <t>Клюев Виктор Николаевич</t>
  </si>
  <si>
    <t>г. Юрьев-Польский, ул Вокзальная, д. 16, кв. 70</t>
  </si>
  <si>
    <t>Региональный оператор</t>
  </si>
  <si>
    <t>Электронный аукцион</t>
  </si>
  <si>
    <t>Средства собственников помещений; Областной бюджет; Местный бюджет</t>
  </si>
  <si>
    <t>протокол заседания комиссии от 31.01.2017</t>
  </si>
  <si>
    <t>Объект закупки/вид работ</t>
  </si>
  <si>
    <t xml:space="preserve">1 916 106.11 </t>
  </si>
  <si>
    <t>ООО "Строй Плюс"</t>
  </si>
  <si>
    <t>протокол заседания комиссии от 20.02.2017</t>
  </si>
  <si>
    <t>Киржач г, Красный Октябрь мкр, Солнечный кв-л, 7а, кв. 24</t>
  </si>
  <si>
    <t xml:space="preserve">г. Муром, ул. Коммунистическая, д. 38  – ремонт крыши </t>
  </si>
  <si>
    <t xml:space="preserve">1 571 040.00 </t>
  </si>
  <si>
    <t>ООО "СтройМастер"</t>
  </si>
  <si>
    <t>Гусь-Хрустальный г, Муравьева-Апостола ул, 16, кв.27</t>
  </si>
  <si>
    <t>Понижение по договору (%)</t>
  </si>
  <si>
    <t>Кольчугинский район, с. Большое Кузьминское,                ул. Молодежная, д. 3 - ремонт крыши</t>
  </si>
  <si>
    <t>г. Юрьев-Польский, ул. Покровская, д. 46 - ремонт фасада ; Юрьев-Польский район, с. Небылое, ул. Первомайская, д. 95 - ремонт фасада</t>
  </si>
  <si>
    <t>Петушинский р-н, Покров г, Больничный проезд, д. 23 - ремонт фасада</t>
  </si>
  <si>
    <t>Юрьев-Польский район, с. Небылое, ул. Первомайская, д. 81 - ремонт крыши</t>
  </si>
  <si>
    <t>FKR17011700021</t>
  </si>
  <si>
    <t>FKR17011700018</t>
  </si>
  <si>
    <t>FKR17011700019</t>
  </si>
  <si>
    <t>FKR17011700020</t>
  </si>
  <si>
    <t>FKR2812160005</t>
  </si>
  <si>
    <t>Реестровый номер процедуры электронной площадки</t>
  </si>
  <si>
    <t>Начальная цена аукциона (руб.)</t>
  </si>
  <si>
    <t xml:space="preserve">Дата подведения результатов определения подрядной организации и реквизиты документа, подтверждающего основание заключения договора </t>
  </si>
  <si>
    <t>FKR09021700125</t>
  </si>
  <si>
    <t xml:space="preserve">г Владимир ул Краснознаменная д 1А - ремонт фасада                                                                          г Владимир ул Усти-на-Лабе д 34 - ремонт фасада                           г Владимир Чайковского проезд д 9 - ремонт фасада      </t>
  </si>
  <si>
    <t>ИП Солдаткин А.Г.</t>
  </si>
  <si>
    <t xml:space="preserve">г. Владимир, ул. Диктора Левитана,
 д. 42, кв.1
</t>
  </si>
  <si>
    <t>FKR09021700123</t>
  </si>
  <si>
    <t>протокол подведения итогов процедуры FKR9021700123 от 20 марта 2017 года</t>
  </si>
  <si>
    <t xml:space="preserve">Выполнение работ по капитальному ремонту фасадов многоквартирных домов, расположенных по следующим адресам:
Владимирская область, г. Владимир:
ул. Модорова, д. 4  
ул. Асаткина, д. 12
</t>
  </si>
  <si>
    <t>ООО "Строительные технологии"</t>
  </si>
  <si>
    <t>г. Владимир, ул. Растопчина,    д. 47б</t>
  </si>
  <si>
    <t>FKR09021700121</t>
  </si>
  <si>
    <t>протокол подведения итогов процедуры FKR9021700121 от 20 марта 2017 года</t>
  </si>
  <si>
    <t xml:space="preserve">Выполнение работ по капитальному ремонту крыш многоквартирных домов, расположенных по следующим адресам:
Владимирская область:
г. Владимир, ул. Б. Нижегородская, д. 90  
г. Владимир, ул. Перекопский городок, д.13  
Собинский р-н, п. Ставрово, 
ул. Совхозная, д. 7
</t>
  </si>
  <si>
    <t>FKR09021700122</t>
  </si>
  <si>
    <t>протокол проведения аукциона в электронной форме реестровый номер FKR09021700122                 от 20 марта 2017 года</t>
  </si>
  <si>
    <t xml:space="preserve">Выполнение работ по капитальному ремонту крыш многоквартирных домов, расположенных по следующим адресам:
Владимирская область, Вязниковский район:
п. Мстера, ул. Мира, д. 3
п. Никологоры, Текстильный пер, д.6
</t>
  </si>
  <si>
    <t>ООО "СтройХолдинг"</t>
  </si>
  <si>
    <t>601915, г.Ковров, ул. Еловая, д.86, корп.1, кв.12</t>
  </si>
  <si>
    <t>протокол проведения аукциона в электронной форме реестровый номер FKR09021700125 от             20 марта 2017 года</t>
  </si>
  <si>
    <t>FKR10031700031</t>
  </si>
  <si>
    <t>протокол проведения аукциона в электронной форме реестровый номер FKR10031700031                от 17 апреля2017 года</t>
  </si>
  <si>
    <t>Выполнение работ по капитальному ремонту крыши многоквартирного дома, расположенного по адресу:
Владимирская область, 
г. Гороховец, 
ул. Гагарина, д. 21</t>
  </si>
  <si>
    <t>991 043.90</t>
  </si>
  <si>
    <t>ООО «Стройторгсервис»</t>
  </si>
  <si>
    <t>601445, Владимирская область, Вязниковский район, г. Вязники, ул. Ленина, д. 34, оф. 22</t>
  </si>
  <si>
    <t>FKR24031700012</t>
  </si>
  <si>
    <t>протокол рассмотрения зявок на участие в процедуре FKR24031700012 от 28 апреля 2017 года</t>
  </si>
  <si>
    <t xml:space="preserve">Выполнение работ по разработке проектно-сметной документации на капитальный ремонт крыш многоквартирных домов, расположенных по следующим адресам:
Владимирская область, Камешковский район:
п. им. К. Маркса, ул. Лесная, д. 12
п. Новки, ул. Ильича, д. 43;
д. Сергеиха, ул. Фрунзе, д. 67
п. Мирный, ул. Центральная, д. 2 А
с. Горки, ул. Колхозная, д. 20
п. Красина, ул. Рабочая, д. 7
Выполнение работ по разработке проектно-сметной документации на капитальный ремонт фундамента многоквартирного  дома, расположенного по адресу:
Владимирская область, Камешковский район, 
п. им. М.Горького, ул. Морозова, д. 6
</t>
  </si>
  <si>
    <t>в течение 60 календарных дней</t>
  </si>
  <si>
    <t>ООО "Энергосберегающие технологии"</t>
  </si>
  <si>
    <t xml:space="preserve">610035,  г.Киров,  Мелькомбинатовский  пр-зд, 
д.7, оф. 201
</t>
  </si>
  <si>
    <t>FKR24031700033</t>
  </si>
  <si>
    <t>протокол рассмотрения зявок на участие в процедуре FKR24031700033 от 28 апреля 2017 года</t>
  </si>
  <si>
    <t xml:space="preserve">Выполнение работ по разработке проектно-сметной документации на капитальный ремонт крыш многоквартирных домов, расположенных по следующим адресам:
Владимирская область, Собинский район:
п. Ставрово, ул. Октябрьская, д. 136
п. Ставрово, ул. Юбилейная, д. 3 
Выполнение работ по разработке проектно-сметной документации на капитальный ремонт фасадов многоквартирных домов, расположенных по следующим адресам:
п. Ставрово, ул. Первомайская, д. 23
п. Ставрово, ул. Жуковского, д. 9
</t>
  </si>
  <si>
    <t>FKR24031700015</t>
  </si>
  <si>
    <t>протокол рассмотрения зявок на участие в процедуре FKR24031700015 от 28 апреля 2017 года</t>
  </si>
  <si>
    <t xml:space="preserve">Выполнение работ по разработке проектно-сметной документации на капитальный ремонт крыш многоквартирных домов, расположенных по следующим адресам:
Владимирская область, Гороховецкий район:
п. Чулково, ул. Производственная, д. 5 
г. Гороховец, ул. Ленина, д. 7 
г. Гороховец,  ул. Ленина, д. 13 
г. Гороховец,  ул. Ленина, д. 15  
г. Гороховец,  ул. Льва Толстого, д. 48 
г. Гороховец,  ул. Мира, д. 10
</t>
  </si>
  <si>
    <t>FKR24031700037</t>
  </si>
  <si>
    <t>протокол рассмотрения зявок на участие в процедуре FKR24031700037 от 28 апреля 2017 года</t>
  </si>
  <si>
    <t xml:space="preserve">Выполнение работ по разработке проектно-сметной документации на капитальный ремонт крыш, многоквартирных домов, расположенных по следующим адресам:
Владимирская область, Вязниковский район:
п. Заречный, д. 27
п. Никологоры, пер. Красноармейский, д. 7 
п. Никологоры, ул. Пушкинская, д. 48 
п. Никологоры, ул. Советская, д. 26 
п. Лукново, ул. Фабричная, д. 21 
д. Паустово, ул. Текстильщиков, д. 14
д. Сергеево, ул. Ткацкая, д. 12
д. Октябрьская, ул. Молодежная, д. 5 
</t>
  </si>
  <si>
    <t>FKR24031700009</t>
  </si>
  <si>
    <t>протокол рассмотрения зявок на участие в процедуре FKR24031700009 от 28 апреля 2017 года</t>
  </si>
  <si>
    <t xml:space="preserve">Выполнение работ по разработке проектно-сметной документации на капитальный ремонт крыш, многоквартирных домов, расположенных по следующим адресам:
Владимирская область, Ковровский район:
п. Малыгино, ул. Школьная, д. 57
п. Малыгино, ул. Юбилейная, д. 52
п. Мелехово, ул. Пионерская, д. 3
п. Красный Октябрь, ул. Мира, д. 11
Выполнение работ по разработке проектно-сметной документации на капитальный ремонт фундамента, многоквартирного дома, расположенного по адресу:
Владимирская область, Ковровский район 
с. Клязьминский городок, ул. Клязьменская ПМК, д. 6
</t>
  </si>
  <si>
    <t>FKR24031700016</t>
  </si>
  <si>
    <t>протокол проведения аукциона в электронной форме реестровый номер FKR24031700016 от 2 мая 2017 года</t>
  </si>
  <si>
    <t xml:space="preserve">Выполнение работ по разработке проектно-сметной документации на капитальный ремонт крыш многоквартирных домов, расположенных по следующим адресам:
Владимирская область, Собинский район:
п. Колокша, ул. Железнодорожная, д.2б
г. Лакинск, ул. 21 партсъезда, д. 27
г. Лакинск, ул. Лермонтова, д. 42
г. Лакинск, ул. Лермонтова, д. 41
</t>
  </si>
  <si>
    <t>в течение 45 календарных дней</t>
  </si>
  <si>
    <t>Государственное унитарное предприятие Владимирской области - Проектный институт «Владкоммунпроект» жилищно-коммунального хозяйства Владимирской области</t>
  </si>
  <si>
    <t>600033, г. Владимир, ул.Диктора Левитана, д.35</t>
  </si>
  <si>
    <t>FKR24031700030</t>
  </si>
  <si>
    <t>протокол проведения аукциона в электронной форме реестровый номер FKR24031700030 от 2 мая 2017 года</t>
  </si>
  <si>
    <t xml:space="preserve">Выполнение работ по разработке проектно-сметной документации на капитальный ремонт крыш, многоквартирных домов, расположенных по следующим адресам:
Владимирская область:
Судогодский район, г. Судогда, ул. Ленина, д. 74
Судогодский район, г. Судогда, ул. Северная, д. 5
г. Владимир, ул. Суздальская, д. 6
Гусь-Хрустальный район, г. Гусь-Хрустальный, 
ул. Минская, д. 3 
Выполнение работ по разработке проектно-сметной документации на капитальный ремонт фасадов, многоквартирных домов, расположенных по следующим адресам:
Владимирская область, Судогодский район:
г. Судогда, ул. Ленина, д. 74 
п. им. Воровского, ул. Спортивная, д. 2а
</t>
  </si>
  <si>
    <t>FKR06041700006</t>
  </si>
  <si>
    <t>протокол рассмотрения зявок на участие в процедуре FKR06041700006 от 11 мая 2017 года</t>
  </si>
  <si>
    <t xml:space="preserve">Выполнение работ по разработке проектно-сметной документации на капитальный ремонт лифтового оборудования многоквартирных домов, расположенных по следующим адресам:
Владимирская область:
г. Ковров, ул. Зои Космодемьянской, д. 7, корп. 2 
г. Ковров, ул. Ранжева, д. 11 
Ковровский район, п. Санатория им. Абельмана, д. 1 
г. Ковров, ул. Пугачева, д. 35 
г. Александров, ул. Красный пер. д. 3 
г. Александров, ул. Королева, д. 9, корп. 1 
г. Муром, пр-д Кооперативный, д. 1 
г. Муром, ул. Экземплярского, д. 45 
г. Владимир, мкр. Юрьевец, ул. Михалькова, д. 1Б
</t>
  </si>
  <si>
    <t>в течение 30 календарных дней</t>
  </si>
  <si>
    <t>ЗАО НПО "Техкранэнерго"</t>
  </si>
  <si>
    <t xml:space="preserve">600009, г. Владимир, ул. Полины Осипенко,
 д. 66
</t>
  </si>
  <si>
    <t>FKR10041700002</t>
  </si>
  <si>
    <t>протокол рассмотрения зявок на участие в процедуре FKR10041700002 от 15 мая 2017 года</t>
  </si>
  <si>
    <t xml:space="preserve">Выполнение работ по капитальному ремонту фундамента многоквартирного дома, расположенного по адресу:
Владимирская область, Александровский район, г. Карабаново, пл. Первомайская, д. 4
</t>
  </si>
  <si>
    <t xml:space="preserve">
2 704 065,68
</t>
  </si>
  <si>
    <t>FKR10041700004</t>
  </si>
  <si>
    <t>протокол рассмотрения зявок на участие в процедуре FKR10041700004 от 15 мая 2017 года</t>
  </si>
  <si>
    <t xml:space="preserve">Выполнение работ по капитальному ремонту внутридомовых инженерных систем горячего водоснабжения, водоотведения, теплоснабжения, электроснабжения многоквартирного дома, расположенного по адресу:
Владимирская область, Александровский район, г. Александров, ул. Лермонтова,  д. 17
</t>
  </si>
  <si>
    <t>ООО "Монолит СТМ"</t>
  </si>
  <si>
    <t xml:space="preserve">г. Александров, ул. Первомайская, д. 3, </t>
  </si>
  <si>
    <t>FKR10041700011</t>
  </si>
  <si>
    <t>протокол рассмотрения зявок на участие в процедуре FKR10041700011 от 15 мая 2017 года</t>
  </si>
  <si>
    <t xml:space="preserve">Выполнение работ по капитальному ремонту крыши многоквартирного дома, расположенного по адресу:
Владимирская область, г. Владимир,  
ул. Вознесенская, д. 3
</t>
  </si>
  <si>
    <t>ОАО "Юрьевстрой"</t>
  </si>
  <si>
    <t>г. Юрьев-Польский, ул. Луговая, д. 1 А</t>
  </si>
  <si>
    <t>FKR10041700006</t>
  </si>
  <si>
    <t xml:space="preserve">Протокол проведения электронного аукциона 
 Реестровый номер: FKR10041700006 от 18 мая 2017 года
 </t>
  </si>
  <si>
    <t xml:space="preserve">Выполнение работ по капитальному ремонту крыши многоквартирного дома, расположенного по адресу:
Владимирская область, Ковровский район, 
г. Ковров, ул. Свердлова, д.84
</t>
  </si>
  <si>
    <t>ООО «НовоСтрой Плюс»</t>
  </si>
  <si>
    <t xml:space="preserve">г. Ковров, ул. Строителей, 
д.31/2, оф.9 
</t>
  </si>
  <si>
    <t>FKR20041700006</t>
  </si>
  <si>
    <t>протокол рассмотрения зявок на участие в процедуре FKR20041700006 от 23 мая 2017 года</t>
  </si>
  <si>
    <t>Выполнение работ по капитальному ремонту крыши многоквартирных домов, расположенных по следующим адресам:
Владимирская область:
Судогодский район, п. им.  Воровского, ул. Воровского,  д. 53
Селивановский район, п. Красная Ушна, ул. Заводская, д. 9</t>
  </si>
  <si>
    <t>ИП Коптев А.Ю.</t>
  </si>
  <si>
    <t xml:space="preserve">Владимирская область,
г. Судогда, ул. Красная, д. 4, кв.2
</t>
  </si>
  <si>
    <t>FKR20041700005</t>
  </si>
  <si>
    <t xml:space="preserve">Протокол проведения электронного аукциона 
 Реестровый номер: FKR20041700005 от 26 мая 2017 года
 </t>
  </si>
  <si>
    <t xml:space="preserve">Выполнение работ по капитальному ремонту внутридомовых инженерных систем электроснабжения многоквартирных домов, расположенных по следующим адресам:
Владимирская область, Вязниковский район: 
д. Эдон, ул. Советская, д. 21
п. Степанцево, ул. Пролетарская, д.3
</t>
  </si>
  <si>
    <t>0.50%</t>
  </si>
  <si>
    <t>FKR21041700019</t>
  </si>
  <si>
    <t xml:space="preserve">Протокол проведения электронного аукциона 
 Реестровый номер: FKR21041700019 от 29 мая 2017 года
 </t>
  </si>
  <si>
    <t xml:space="preserve">Выполнение работ по капитальному ремонту крыши (замена плоской крыши на стропильную) многоквартирного дома, расположенного по адресу:
Владимирская область, Суздальский  район, п. Садовый, ул. Строителей, д. 2
</t>
  </si>
  <si>
    <t>7.49%</t>
  </si>
  <si>
    <t>FKR20041700004</t>
  </si>
  <si>
    <t xml:space="preserve">Протокол проведения электронного аукциона 
 Реестровый номер: FKR20041700004 от 26 мая 2017 года
 </t>
  </si>
  <si>
    <t xml:space="preserve">Выполнение работ по капитальному ремонту крыши многоквартирного дома, расположенного по адресу:
Владимирская область, Судогодский район, г.  Судогда, Большой Советский пер, д. 17
</t>
  </si>
  <si>
    <t>21.70%</t>
  </si>
  <si>
    <t>FKR20041700007</t>
  </si>
  <si>
    <t xml:space="preserve">Протокол проведения электронного аукциона 
 Реестровый номер: FKR20041700007 от 26 мая 2017 года
 </t>
  </si>
  <si>
    <t xml:space="preserve">Выполнение работ по капитальному ремонту крыши многоквартирного дома, расположенного по адресу:
Владимирская область, Гусь-Хрустальный район, п.  Уршельский, ул. Театральная, 
д. 35
</t>
  </si>
  <si>
    <t>FKR24041700016</t>
  </si>
  <si>
    <t>протокол рассмотрения зявок на участие в процедуре FKR24041700016 от 26 мая 2017 года</t>
  </si>
  <si>
    <t xml:space="preserve">Выполнение работ по разработке проектно-сметной документации на капитальный ремонт внутридомовых инженерных систем электроснабжения, теплоснабжения, холодного водоснабжения и водоотведения многоквартирных домов, расположенных по следующим адресам:
Владимирская область:
г Муром ул. Войкова д.9
г Гусь-Хрустальный пер. Гражданский д.22/2
Выполнение работ по разработке проектно-сметной документации на капитальный ремонт внутридомовых инженерных систем электроснабжения, теплоснабжения и холодного водоснабжения многоквартирных домов, расположенных по следующим адресам:
Владимирская область:
г Муром п Механизаторов д.53
г Гусь-Хрустальный п Новый ул Ленина д.16
Выполнение работ по разработке проектно-сметной документации на капитальный ремонт внутридомовых инженерных систем электроснабжения и теплоснабжения многоквартирного дома, расположенного по адресу:
Владимирская область г Муром ул Ковровская д.3
Выполнение работ по разработке проектно-сметной документации на капитальный ремонт внутридомовых инженерных систем теплоснабжения многоквартирного дома, расположенного по адресу:
Владимирская область г Муром ул Артема д.1А
Выполнение работ по разработке проектно-сметной документации на капитальный ремонт внутридомовых инженерных систем электроснабжения многоквартирных домов, расположенных по следующим адресам:
Владимирская область г Муром:
ул Куликова д.23
п Фабрики им П.Л.Войкова д.23
</t>
  </si>
  <si>
    <t xml:space="preserve">Общество с ограниченной ответственностью
«Строительно-монтажный поезд-245-Энерго»    
</t>
  </si>
  <si>
    <t>г. Владимир, спуск Коммунальный, д. 1</t>
  </si>
  <si>
    <t>FKR24041700017</t>
  </si>
  <si>
    <t>протокол рассмотрения зявок на участие в процедуре FKR24041700017 от 26 мая 2017 года</t>
  </si>
  <si>
    <t xml:space="preserve">Выполнение работ по разработке проектно-сметной документации на капитальный ремонт внутридомовых инженерных систем теплоснабжения, холодного и горячего водоснабжения многоквартирного дома, расположенного по адресу:
Владимирская область г Кольчугино ул Дружбы д.18Б
Выполнение работ по разработке проектно-сметной документации на капитальный ремонт внутридомовых инженерных систем теплоснабжения многоквартирных домов, расположенных по следующим адресам:
Владимирская область:
г Юрьев-Польский ул Луговая д.41
г Юрьев-Польский ул Павших борцов д.13
г Юрьев-Польский ул Свободы д.145
г Киржач ул Текстильщиков д.9
Выполнение работ по разработке проектно-сметной документации на капитальный ремонт внутридомовых инженерных систем электроснабжения многоквартирных домов, расположенных по следующим адресам:
Владимирская область:
г Юрьев-Польский ул Шибанкова д.42
Юрьев-Польский район, с Косинское ул Школьная д. 1
Выполнение работ по разработке проектно-сметной документации на капитальный ремонт внутридомовых инженерных систем холодного водоснабжения многоквартирного дома, расположенного по адресу:
Владимирская область г Киржач ул Первомайская д.20
Выполнение работ по разработке проектно-сметной документации на капитальный ремонт внутридомовых инженерных систем водоотведения многоквартирного дома, расположенного по адресу:
Владимирская область г Киржач ул Первомайская д.24
</t>
  </si>
  <si>
    <t>FKR25041700007</t>
  </si>
  <si>
    <t>протокол рассмотрения зявок на участие в процедуре FKR25041700007 от 29 мая 2017 года</t>
  </si>
  <si>
    <t xml:space="preserve">Выполнение работ по разработке проектно-сметной документации на капитальный ремонт внутридомовых инженерных систем теплоснабжения, горячего и холодного водоснабжения и водоотведения многоквартирного дома, расположенного по адресу:
Владимирская область, Александровский район, п. Балакирево, ул. Вокзальная, д.13
Выполнение работ по разработке проектно-сметной документации на капитальный ремонт внутридомовых инженерных систем электроснабжения, теплоснабжения и водоотведения многоквартирных домов, расположенных по следующим адресам:
Владимирская область, Александровский район:
г. Струнино, кв-л Дубки, д.11
г. Струнино, кв-л Дубки, д.17
Выполнение работ по разработке проектно-сметной документации на капитальный ремонт внутридомовых инженерных систем теплоснабжения и водоотведения многоквартирного дома, расположенного по адресу:
Владимирская область, г. Александров, 
ул. Институтская, д. 12
Выполнение работ по разработке проектно-сметной документации на капитальный ремонт внутридомовых инженерных систем холодного и горячего водоснабжения, водоотведения многоквартирного дома, расположенного по адресу:
Владимирская область, Александровский район, д. Следнево, кв-л Октябрьский, д.1
Выполнение работ по разработке проектно-сметной документации на капитальный ремонт внутридомовых инженерных систем холодного водоснабжения и водоотведения многоквартирного дома, расположенного по адресу:
Владимирская область, Александровский район, д. Следнево, кв-л Октябрьский, д. 3
Выполнение работ по разработке проектно-сметной документации на капитальный ремонт внутридомовых инженерных систем холодного водоснабжения многоквартирного дома, расположенного по адресу:
Владимирская область, Александровский район, с. Большое Каринское, ул. Новая, д.4
</t>
  </si>
  <si>
    <t>FKR25041700008</t>
  </si>
  <si>
    <t>протокол рассмотрения зявок на участие в процедуре FKR25041700008 от 29 мая 2017 года</t>
  </si>
  <si>
    <t xml:space="preserve">Выполнение работ по разработке проектно-сметной документации на капитальный ремонт внутридомовых инженерных систем электроснабжения, теплоснабжения, холодного водоснабжения и водоотведения многоквартирного дома, расположенного по адресу: 
Владимирская область, г. Муром, 
ул. Заводская д.1 
Выполнение работ по разработке проектно-сметной документации на капитальный ремонт крыши многоквартирного дома, расположенного по адресу: 
Владимирская область, г. Муром, ул. Красногвардейская, д.10а
</t>
  </si>
  <si>
    <t>в течение 25 календарных дней</t>
  </si>
  <si>
    <t>FKR26041700005</t>
  </si>
  <si>
    <t xml:space="preserve">Протокол проведения электронного аукциона 
 Реестровый номер: FKR26041700005 от 1 июня 2017 года
 </t>
  </si>
  <si>
    <t xml:space="preserve">Выполнение работ по капитальному ремонту крыши многоквартирного дома, расположенного по адресу:
Владимирская область, Селивановский район, п. Красная Горбатка, 
ул. Комсомольская, д. 82
</t>
  </si>
  <si>
    <t>3.50%</t>
  </si>
  <si>
    <t xml:space="preserve">Общество с ограниченной ответственностью
«Еврострой»
</t>
  </si>
  <si>
    <t>Селивановский район, п. Красная Горбатка, ул. Куйбышева, д. 40</t>
  </si>
  <si>
    <t>FKR25041700009</t>
  </si>
  <si>
    <t xml:space="preserve">Протокол проведения электронного аукциона 
 Реестровый номер: FKR25041700009 от 1 июня 2017 года
 </t>
  </si>
  <si>
    <t xml:space="preserve">Выполнение работ по разработке проектно-сметной документации на капитальный ремонт внутридомовых инженерных систем электроснабжения, горячего и холодного водоснабжения многоквартирного дома, расположенного по адресу:
Владимирская область, г. Радужный, 
кв-л 1-й, д. 2
Выполнение работ по разработке проектно-сметной документации на капитальный ремонт внутридомовых инженерных систем электроснабжения и теплоснабжения многоквартирного дома, расположенного по адресу:
Владимирская область, г. Радужный, 
кв-л 1-й, д. 1
</t>
  </si>
  <si>
    <t>1.00%</t>
  </si>
  <si>
    <t>FKR02051700014</t>
  </si>
  <si>
    <t>протокол рассмотрения зявок на участие в процедуре FKR02051700014 от 5 июня 2017 года</t>
  </si>
  <si>
    <t xml:space="preserve">Выполнение работ по разработке проектно-сметной документации на капитальный ремонт внутридомовых инженерных систем холодного водоснабжения и водоотведения многоквартирного дома, расположенного по адресу:
Владимирская область, г. Владимир, 
ул. Гагарина, д. 10
Выполнение работ по разработке проектно-сметной документации на капитальный ремонт крыши многоквартирного дома, расположенного по адресу:
Владимирская область, г. Владимир, 
ул. 1-я Пионерская д. 59
</t>
  </si>
  <si>
    <t>FKR02051700018</t>
  </si>
  <si>
    <t>протокол рассмотрения зявок на участие в процедуре FKR02051700018 от 5 июня 2017 года</t>
  </si>
  <si>
    <t xml:space="preserve">Выполнение работ по разработке проектно-сметной документации на капитальный ремонт крыш многоквартирных домов, расположенных по следующим адресам:
Владимирская область, Петушинский район: 
п. Вольгинский, ул. Новосеменковская, д. 5
п. Нагорный, ул. Владимирская, д. 1
д. Панфилово, ул. Центральная, д. 3
Выполнение работ по разработке проектно-сметной документации на капитальный ремонт фундамента многоквартирного дома, расположенного по адресу:
Владимирская область, Петушинский район, 
г. Петушки, ул. Чехова, д. 5
</t>
  </si>
  <si>
    <t>Общество с ограниченной ответственностью «Сервсиный Центр Сириус»</t>
  </si>
  <si>
    <t xml:space="preserve">610007, г. Киров, ул. Ленина, д.184-12 </t>
  </si>
  <si>
    <t>FKR02051700017</t>
  </si>
  <si>
    <t xml:space="preserve">Протокол проведения электронного аукциона 
 Реестровый номер: FKR02051700017 от 8 июня 2017 года
 </t>
  </si>
  <si>
    <t xml:space="preserve">Выполнение работ по разработке проектно-сметной документации на капитальный ремонт крыши многоквартирного дома, расположенного по адресу:
Владимирская область, г. Муром, ул. 30 лет Победы, д. 2
</t>
  </si>
  <si>
    <t>9.89%</t>
  </si>
  <si>
    <t>FKR02051700019</t>
  </si>
  <si>
    <t xml:space="preserve">Протокол проведения электронного аукциона 
 Реестровый номер: FKR02051700019 от 8 июня 2017 года
 </t>
  </si>
  <si>
    <t xml:space="preserve">Выполнение работ по разработке проектно-сметной документации на капитальный ремонт крыш, многоквартирных домов, расположенных по следующим адресам:
Владимирская область:
Кольчугинский район, 
г. Кольчугино, ул. Ленина, д. 7
Кольчугинский район, 
г. Кольчугино, ул. Темкина, д. 9
г. Александров, ул. Лермонтова, д. 16
Выполнение работ по разработке проектно-сметной документации на капитальный ремонт фасада, многоквартирного дома, расположенного по адресу:
Владимирская область Александровский район, г. Карабаново, ул. Садовая, д. 5
Выполнение работ по разработке проектно-сметной документации на капитальный ремонт подвальных помещений многоквартирного дома, расположенного по адресу:
Владимирская область, Юрьев-Польский район, г. Юрьев-Польский, ул. Свободы, 
д. 133
</t>
  </si>
  <si>
    <t>14.97%</t>
  </si>
  <si>
    <t>FKR02051700020</t>
  </si>
  <si>
    <t xml:space="preserve">Протокол проведения электронного аукциона 
 Реестровый номер: FKR02051700020 от 8 июня 2017 года
 </t>
  </si>
  <si>
    <t xml:space="preserve">Выполнение работ по разработке проектно-сметной документации на капитальный ремонт крыш многоквартирных домов, расположенных по следующим адресам:
Владимирская область, Киржачский район:
г. Киржач, ул. Павловского, д.32
г. Киржач, ул. Павловского, д.34 
г. Киржач, ул. Гайдара, д.15 
г. Киржач, ул. Свобода, д.14 
г. Киржач, ул. Свобода, д.16 
г. Киржач, ул. Морозовская, д.124 
п. Першино, ул. Проезд Октябрят, д.4 
</t>
  </si>
  <si>
    <t>16.80%</t>
  </si>
  <si>
    <t>FKR05051700003</t>
  </si>
  <si>
    <t xml:space="preserve">Протокол проведения электронного аукциона 
 Реестровый номер: FKR05051700003 от 13 июня 2017 года
 </t>
  </si>
  <si>
    <t xml:space="preserve">Выполнение работ по капитальному ремонту крыш многоквартирных домов, расположенных по следующим адресам:
Владимирская область, г. Владимир:
ул. Стасова, д. 40
ул. Стасова, д. 42
</t>
  </si>
  <si>
    <t>15.00%</t>
  </si>
  <si>
    <t xml:space="preserve">Общество с ограниченной ответственностью
«Промремстрой»
</t>
  </si>
  <si>
    <t xml:space="preserve">600901, Владимирская область, г. Владимир, 
мкр. Юрьевец, ул. Рябиновая, д. 51
</t>
  </si>
  <si>
    <t>FKR02051700021</t>
  </si>
  <si>
    <t xml:space="preserve">Протокол проведения электронного аукциона 
 Реестровый номер: FKR05051700017 от 8 июня 2017 года
 </t>
  </si>
  <si>
    <t xml:space="preserve">Выполнение работ по разработке проектно-сметной документации на капитальный ремонт крыш многоквартирных домов, расположенных по следующим адресам:
Владимирская область, Суздальский район:
г. Суздаль, ул. Красная площадь, д. 30
г. Суздаль, ул. Пожарского, д. 4
г. Суздаль, ул. Лоунская, д. 2
Выполнение работ по разработке проектно-сметной документации на капитальный ремонт фасада многоквартирного дома, расположенного по адресу:
Владимирская область, Суздальский район, п. Сокол, д. 6
</t>
  </si>
  <si>
    <t>17.45%</t>
  </si>
  <si>
    <t>FKR05051700004</t>
  </si>
  <si>
    <t>протокол рассмотрения зявок на участие в процедуре FKR05051700004 от 8 июня 2017 года</t>
  </si>
  <si>
    <t xml:space="preserve">Выполнение работ по разработке проектно-сметной документации на капитальный ремонт внутридомовых инженерных систем электроснабжения, теплоснабжения, горячего и холодного водоснабжения и водоотведения многоквартирного дома, расположенного по адресу:
Владимирская область, г. Ковров, ул. Социалистическая, д. 4а
Выполнение работ по разработке проектно-сметной документации на капитальный ремонт внутридомовых инженерных систем электроснабжения и теплоснабжения многоквартирного дома, расположенного по адресу:
Владимирская область, г. Ковров, пр-кт Ленина, д. 27
Выполнение работ по разработке проектно-сметной документации на капитальный ремонт крыши многоквартирного дома, расположенного по адресу:
Владимирская область, г. Вязники, ул. Ефимьево, д.3 
</t>
  </si>
  <si>
    <t>FKR02051700015</t>
  </si>
  <si>
    <t xml:space="preserve">Протокол проведения электронного аукциона 
 Реестровый номер: FKR05051700015 от 8 июня 2017 года
 </t>
  </si>
  <si>
    <t xml:space="preserve">Выполнение работ по капитальному ремонту крыши  многоквартирного дома, расположенного по адресу:
г. Владимир, ул. Горького, д.34
</t>
  </si>
  <si>
    <t>10.00%</t>
  </si>
  <si>
    <t xml:space="preserve">Общество с ограниченной ответственностью
«ВСИ»
</t>
  </si>
  <si>
    <t xml:space="preserve">600027, Владимирская область, г. Владимир, 
ул. Лескова, д. 4 
</t>
  </si>
  <si>
    <t>FKR11051700006</t>
  </si>
  <si>
    <t xml:space="preserve">Протокол проведения электронного аукциона 
 Реестровый номер: FKR11051700006 от13 июня 2017 года
 </t>
  </si>
  <si>
    <t xml:space="preserve">Выполнение работ по капитальному ремонту крыши  многоквартирного дома, расположенного по адресу:
Владимирская область, Петушинский район, г.Петушки, ул.Строителей, д.26а
</t>
  </si>
  <si>
    <t>Общество с ограниченной ответственностью "Ивоблстрой"</t>
  </si>
  <si>
    <t>153022, Ивановская область, г.Иваново, ул.Велижская, д.8</t>
  </si>
  <si>
    <t>FKR05051700002</t>
  </si>
  <si>
    <t xml:space="preserve">Протокол проведения электронного аукциона 
 Реестровый номер: FKR05051700002 от13 июня 2017 года
 </t>
  </si>
  <si>
    <t xml:space="preserve">Выполнение работ по капитальному ремонту крыши  многоквартирного дома, расположенного по адресу:
г.Владимир, ул.Горького, д.38
</t>
  </si>
  <si>
    <t>FKR14041700017</t>
  </si>
  <si>
    <t xml:space="preserve">Протокол проведения электронного аукциона 
 Реестровый номер: FKR14041700017 от 14 июня 2017 года
 </t>
  </si>
  <si>
    <t>Оказание услуг по осуществлению строительного контроля при выполнении работ по капитальному ремонту общего имущества многоквартррных домов на следующих территориях Владимирской области: Меленковский район, Муромский район, Селивановский район</t>
  </si>
  <si>
    <t>срок окончания работ по капитальному ремонту</t>
  </si>
  <si>
    <t xml:space="preserve">Общество с ограниченной ответственностью
«Юнирост»
</t>
  </si>
  <si>
    <t>129515, г.Москва, ул.Академика Королева, д.13, стр.1, оф.825</t>
  </si>
  <si>
    <t>FKR11051700005</t>
  </si>
  <si>
    <t xml:space="preserve">Протокол проведения электронного аукциона 
 Реестровый номер: FKR11051700005 от 13 июня 2017 года
 </t>
  </si>
  <si>
    <t xml:space="preserve">Выполнение работ по капитальному ремонту крыши  многоквартирного дома, расположенного по адресу:
г.Владимир, ул.Фейгина, д.13
</t>
  </si>
  <si>
    <t xml:space="preserve">Общество с ограниченной ответственностью
«Альфа»
</t>
  </si>
  <si>
    <t>600021, г.Владимир, Перекопский городок, д.33, пом.5</t>
  </si>
  <si>
    <t>FKR14041700014</t>
  </si>
  <si>
    <t xml:space="preserve">Протокол проведения электронного аукциона 
 Реестровый номер: FKR14041700014 от 14 июня 2017 года
 </t>
  </si>
  <si>
    <t>Оказание услуг по осуществлению строительного контроля при выполнении работ по капитальному ремонту общего имущества многоквартррных домов на территории Судогодского района Владимирской области</t>
  </si>
  <si>
    <t>FKR17051700071</t>
  </si>
  <si>
    <t xml:space="preserve">Протокол проведения электронного аукциона 
 Реестровый номер: FKR17051700071 от 22 июня 2017 года
 </t>
  </si>
  <si>
    <t xml:space="preserve">Выполнение работ по капитальному ремонту крыши  многоквартирного дома, расположенного по адресу:
г.Владимир, ул.Бобкова, д.3-а
</t>
  </si>
  <si>
    <t xml:space="preserve">ИП Солдаткин А.Г.
</t>
  </si>
  <si>
    <t>600033, г.Владимир, ул.Диктора Левитана, д.42, кв.1</t>
  </si>
  <si>
    <t>FKR14041700015</t>
  </si>
  <si>
    <t xml:space="preserve">Протокол проведения электронного аукциона 
 Реестровый номер: FKR14041700015 от 19 июня 2017 года
 </t>
  </si>
  <si>
    <t>Оказание услуг по осуществлению строительного контроля при выполнении работ по капитальному ремонту общего имущества многоквартррных домов на территории округа Муром Владимирской области</t>
  </si>
  <si>
    <t>FKR14041700016</t>
  </si>
  <si>
    <t xml:space="preserve">Протокол проведения электронного аукциона 
 Реестровый номер: FKR14041700016 от 19 июня 2017 года
 </t>
  </si>
  <si>
    <t>Оказание услуг по осуществлению строительного контроля при выполнении работ по капитальному ремонту общего имущества многоквартррных домов на территории ЗАТО г.Радужный Владимирской области</t>
  </si>
  <si>
    <t>FKR15051700007</t>
  </si>
  <si>
    <t xml:space="preserve">Протокол рассмотрения заявок на участие в электронном аукционе
 Реестровый номер: FKR15051700007 от 19 июня 2017 года
 </t>
  </si>
  <si>
    <t xml:space="preserve">Выполнение работ по разработке проектно-сметной документации на капитальный ремонт крыш многоквартирных домов, расположенных по следующим адресам:
Владимирская область, Собинский район: 
г.Собинка, ул.Димитрова, д.17; Александровский район, д.Лисавы, ул.Центральная, д.2; Юрьев-Польский район, г.Юрьев-Польский, ул.Шибанкова, д.105; Петушиснкий район, г.Костерево, ул.Ленина, д.8
</t>
  </si>
  <si>
    <t>FKR17051700017</t>
  </si>
  <si>
    <t xml:space="preserve">Протокол проведения электронного аукциона 
 Реестровый номер: FKR17051700017 от 22 июня 2017 года
 </t>
  </si>
  <si>
    <t xml:space="preserve">Выполнение работ по капитальному ремонту крыши  многоквартирного дома, расположенного по адресу:
г.Владимир, ул.Алябьева, д.23
</t>
  </si>
  <si>
    <t>FKR17051700067</t>
  </si>
  <si>
    <t xml:space="preserve">Протокол проведения электронного аукциона 
 Реестровый номер: FKR17051700067 от 22 июня 2017 года
 </t>
  </si>
  <si>
    <t xml:space="preserve">Выполнение работ по капитальному ремонту внутридомовых инженерных систем теплоснабжения, электроснабжения многоквартирного дома, расположенного по адресу:
г.Владимир, Перекопский городок, д.13
</t>
  </si>
  <si>
    <t>FKR16051700003</t>
  </si>
  <si>
    <t xml:space="preserve">Протокол проведения электронного аукциона 
 Реестровый номер: FKR16051700003 от 22 июня 2017 года
 </t>
  </si>
  <si>
    <t xml:space="preserve">Выполнение работ по капитальному ремонту крыши  многоквартирного дома, расположенного по адресу:
г.Владимир, ул.Усти-на-Лабе, д.32/16
</t>
  </si>
  <si>
    <t>FKR15051700008</t>
  </si>
  <si>
    <t xml:space="preserve">Протокол проведения электронного аукциона 
 Реестровый номер: FKR15051700008 от 19 июня 2017 года
 </t>
  </si>
  <si>
    <t xml:space="preserve">Выполнение работ по разработке проектно-сметной документации на капитальный ремонт фасадов многоквартирных домов, расположенных по следующим адресам:
Владимирская область, Гороховецкий район, п.Пролетарский, ул.Новофабричная, д.22                г.Ковров, ул.Волго-Донская, д.6
Выполнение работ по разработке проектно-сметной документации на капитальный ремонт фундамента многоквартирного дома, расположенного по адресу:
Владимирская область,Гороховецкий район, д.Арефино, ул.Совхозная, д.1
</t>
  </si>
  <si>
    <t>FKR17051700015</t>
  </si>
  <si>
    <t xml:space="preserve">Протокол проведения электронного аукциона 
 Реестровый номер: FKR17051700015 от 22 июня 2017 года
 </t>
  </si>
  <si>
    <t xml:space="preserve">Выполнение работ по капитальному ремонту крыши  многоквартирного дома, расположенного по адресу:
г.Муром, ул.Энгельса, д.19
</t>
  </si>
  <si>
    <t>ИП Матвеев А.В.</t>
  </si>
  <si>
    <t>602205 Владимирская область, г.Муром, Меленковское шоссе, д.19</t>
  </si>
  <si>
    <t>FKR15051700006</t>
  </si>
  <si>
    <t xml:space="preserve">Протокол проведения электронного аукциона 
 Реестровый номер: FKR15051700006 от 22 июня 2017 года
 </t>
  </si>
  <si>
    <t xml:space="preserve">Выполнение работ по разработке проектно-сметной документации на капитальный ремонт крыш многоквартирных домов, расположенных по следующим адресам:
г.Муром, ул. 30 лет Победы, д.9;                   г.Муром, ул. 30 лет Победы, д.11; 
</t>
  </si>
  <si>
    <t>в течение 20 календарных дней</t>
  </si>
  <si>
    <t>FKR15051700010</t>
  </si>
  <si>
    <t xml:space="preserve">Протокол проведения электронного аукциона 
 Реестровый номер: FKR15051700010 от 22 июня 2017 года
 </t>
  </si>
  <si>
    <t>в течение 70 календарных дней</t>
  </si>
  <si>
    <t>FKR16051700001</t>
  </si>
  <si>
    <t xml:space="preserve">Протокол проведения электронного аукциона 
 Реестровый номер: FKR16051700001 от 22 июня 2017 года
 </t>
  </si>
  <si>
    <t>Выполнение работ по разработке проектно-сметной документации на капитальный ремонт внутридомовых инженерных систем электроснабжения, теплоснабжения, горячего и холодного водоснабжения и водоотведения многоквартирных домов, расположенных по следующим адресам:
Владимирская область, г.Гусь-Хрустальный: ул.Добролюбова, д.8; ул.Ломоносова, д.2а/8а               Выполнение работ по разработке проектно-сметной документации на капитальный ремонт внутридомовых инженерных систем электроснабжения, теплоснабжения,холодного водоснабжения и водоотведения многоквартирных домов, расположенных по следующим адресам:
Владимирская область, г.Гусь-Хрустальный: ул.Красных Партизан, д.72/29; ул.Маяковского, д.2а
Выполнение работ по разработке проектно-сметной документации на капитальный ремонт внутридомовых инженерных систем электроснабжения, теплоснабжения,холодного водоснабжения и водоотведения многоквартирных домов, расположенных по следующим адресам:
Владимирская область, г.Гусь-Хрустальный: Теплицкий проспект, д.4</t>
  </si>
  <si>
    <t>FKR16051700002</t>
  </si>
  <si>
    <t xml:space="preserve">Протокол проведения электронного аукциона 
 Реестровый номер: FKR16051700002 от 22 июня 2017 года
 </t>
  </si>
  <si>
    <t xml:space="preserve">Выполнение работ по капитальному ремонту крыши  многоквартирного дома, расположенного по адресу:
Владимирская область, г.Меленки, ул.Кирова, д.42
</t>
  </si>
  <si>
    <t>Общество с ограниченной ответственностью "Евротрансгаз"</t>
  </si>
  <si>
    <t>601501, Владимирская область, г.Гусь-Хрустальный, ул.Некрасова, д.2А</t>
  </si>
  <si>
    <t>FKR17051700016</t>
  </si>
  <si>
    <t xml:space="preserve">Протокол проведения электронного аукциона 
 Реестровый номер: FKR17051700016 от 22 июня 2017 года
 </t>
  </si>
  <si>
    <t xml:space="preserve">Выполнение работ по капитальному ремонту крыши многоквартирных домов, расположенных по следующим адресам:
 г. Владимир, ул. Стрелецкая, д.1
</t>
  </si>
  <si>
    <t>FKR17051700064</t>
  </si>
  <si>
    <t xml:space="preserve">Протокол проведения электронного аукциона 
 Реестровый номер: FKR17051700064 от 22 июня 2017 года
 </t>
  </si>
  <si>
    <t xml:space="preserve">Выполнение работ по капитальному ремонту крыши многоквартирных домов, расположенных по следующим адресам:
 Владимирская область, Собинский район, г.Собинка, ул.Центральная, д.23
</t>
  </si>
  <si>
    <t xml:space="preserve">Общество с ограниченной ответственностью
«Ваши Окна 33»
</t>
  </si>
  <si>
    <t xml:space="preserve">600000, Владимирская область, г. Владимир, 
ул.Девическая, д.15б
</t>
  </si>
  <si>
    <t>FKR17051700069</t>
  </si>
  <si>
    <t xml:space="preserve">Протокол  рассмотрения зявок на участие в процедуре 
 Реестровый номер: FKR17051700069 от 19 июня 2017 года
 </t>
  </si>
  <si>
    <t xml:space="preserve">Выполнение работ по капитальному ремонту подвальных помещений многоквартирного дома, расположенного по адресу:
Владимирская область, Юрьев-Польский район, с.Ополье, д.12
</t>
  </si>
  <si>
    <t>FKR17051700066</t>
  </si>
  <si>
    <t xml:space="preserve">Протокол  рассмотрения зявок на участие в процедуре 
 Реестровый номер: FKR17051700066 от 22 июня 2017 года
 </t>
  </si>
  <si>
    <t xml:space="preserve">Выполнение работ по капитальному ремонту внутридомовых инженерных систем холодного водоснабжения, водоотведения, теплоснабжения, электроснабжения многоквартирного дома, расположенного по адресу:
Владимирская область, Александровский район, г.Струнино, пл.Кирова, д.8
</t>
  </si>
  <si>
    <t>FKR26051700006</t>
  </si>
  <si>
    <t xml:space="preserve">Протокол проведения электронного аукциона 
 Реестровый номер: FKR26051700006 от 3 июля 2017 года
 </t>
  </si>
  <si>
    <t xml:space="preserve">Выполнение работ по капитальному ремонту крыши  многоквартирного дома, расположенного по адресу Владимирская область:
Петушинский р-н, г. Петушки, ул. Луговая, д.4
Петушинский р-н, г. Петушки, ул. Чкалова, д.6
</t>
  </si>
  <si>
    <t xml:space="preserve">3 447 203.29 </t>
  </si>
  <si>
    <t xml:space="preserve">Общество с ограниченной ответственностью
«МИФ» 
</t>
  </si>
  <si>
    <t xml:space="preserve">Владимирская область, Петушинский 
район, пос. Нагорный, ул. Зеленая, д.14
</t>
  </si>
  <si>
    <t>FKR02061700093</t>
  </si>
  <si>
    <t xml:space="preserve">Протокол проведения электронного аукциона 
 Реестровый номер: FKR02061700093 от 7 июля 2017 года
 </t>
  </si>
  <si>
    <t xml:space="preserve">Выполнение работ по капитальному ремонту крыши (замена плоской крыши на стропильную) многоквартирного дома, расположенного по адресу:
Владимирская область, Суздальский  район, 
с. Сновицы, ул. Школьная, д. 7
</t>
  </si>
  <si>
    <t>18.00%</t>
  </si>
  <si>
    <t>ООО «РСП «Богородице-Рождественского мужского монастыря»</t>
  </si>
  <si>
    <t>600018, г. Владимир, ул. Красносельская, д. 3</t>
  </si>
  <si>
    <t>FKR26051700008</t>
  </si>
  <si>
    <t xml:space="preserve">Протокол  рассмотрения зявок на участие в процедуре 
 Реестровый номер: FKR26051700008 от 28 июня 2017 года
 </t>
  </si>
  <si>
    <t>Выполнение работ по разработке проектно-сметной документации на капитальный ремонт крыши (замена плоской крыши на стропильную) многоквартирного дома, расположенного по адресу:
Владимирская область, Юрьев-Польский район, 
с. Энтузиаст, ул. Центральная, д. 4</t>
  </si>
  <si>
    <t>FKR01061700019</t>
  </si>
  <si>
    <t xml:space="preserve">Протокол  рассмотрения зявок на участие в процедуре 
 Реестровый номер: FKR01061700019 от 4 июля 2017 года
 </t>
  </si>
  <si>
    <t xml:space="preserve">Выполнение работ по капитальному ремонту подвальных помещений многоквартирных домов, расположенных по следующим адресам: Владимирская область, Юрьев-Польский район:
с. Пригородный, д. 10
с. Пригородный, д. 12
</t>
  </si>
  <si>
    <t>FKR26051700003</t>
  </si>
  <si>
    <t xml:space="preserve">Протокол проведения электронного аукциона 
 Реестровый номер: FKR26051700003 от 3 июля 2017 года
 </t>
  </si>
  <si>
    <t>Выполнение работ по капитальному ремонту крыши  многоквартирного дома, расположенного по адресу:
г. Владимир, ул. Большая Нижегородская, д.119
г. Владимир, ул. Грибоедова, д.6/88</t>
  </si>
  <si>
    <t>9.05%</t>
  </si>
  <si>
    <t>FKR26051700004</t>
  </si>
  <si>
    <t xml:space="preserve">Протокол проведения электронного аукциона 
 Реестровый номер: FKR26051700004 от 3 июля 2017 года
 </t>
  </si>
  <si>
    <t>Выполнение работ по капитальному ремонту крыши  многоквартирного дома, расположенного по адресу:
г. Владимир, 2-й Коллективный пр-д, д.4 
г. Владимир, ул. Строителей, д.8</t>
  </si>
  <si>
    <t xml:space="preserve">Общество с ограниченной ответственностью 
«СОМЭЙ-Владимир»
</t>
  </si>
  <si>
    <t>600017, г. Владимир, ул. Зеленая, д. 1 а</t>
  </si>
  <si>
    <t>FKR01061700020</t>
  </si>
  <si>
    <t xml:space="preserve">Протокол  рассмотрения зявок на участие в процедуре 
 Реестровый номер: FKR01061700020 от 4 июля 2017 года
 </t>
  </si>
  <si>
    <t>Выполнение работ по капитальному ремонту крыш многоквартирных домов, расположенных по следующим адресам: 
Владимирская область, г. Владимир:
ул. Чайковского, д. 9
ул. Алябьева, д. 11/24</t>
  </si>
  <si>
    <t>FKR02061700066</t>
  </si>
  <si>
    <t xml:space="preserve">Протокол  рассмотрения зявок на участие в процедуре 
 Реестровый номер: FKR02061700066 от 4 июля 2017 года
 </t>
  </si>
  <si>
    <t>Разработка проектно-сметной документации на капитальный ремонт внутридомовых инженерных систем теплоснабжения, горячего и холодного водоснабжения многоквартирного дома, расположенного по адресу:
Владимирская область
г. Кольчугино ул. 3 Интернационала д. 64</t>
  </si>
  <si>
    <t>FKR02061700069</t>
  </si>
  <si>
    <t xml:space="preserve">Протокол  рассмотрения зявок на участие в процедуре 
 Реестровый номер: FKR02061700069 от 4 июля 2017 года
 </t>
  </si>
  <si>
    <t xml:space="preserve">Выполнение работ по разработке проектно-сметной документации на капитальный ремонт внутридомовых инженерных систем электроснабжения, теплоснабжения, горячего и холодного водоснабжения и водоотведения многоквартирного дома, расположенного по адресу: 
Владимирская область, г. Суздаль, ул. Лоунская, д. 3
Выполнение работ по разработки проектно-сметной документации на капитальный ремонт внутридомовых инженерных систем электроснабжения, теплоснабжения, горячего и холодного водоснабжения и водоотведения многоквартирного дома, расположенного по адресу: 
Владимирская область, г. Суздаль, ул. Лоунская, д. 5
Выполнение работ по разработке проектно-сметной документации на капитальный ремонт внутридомовых инженерных систем электроснабжения, теплоснабжения, горячего и холодного водоснабжения и водоотведения многоквартирного дома, расположенного по адресу: 
Владимирская область, г. Суздаль, ул. Лоунская, д. 6
Выполнение работ по разработке проектно-сметной документации на капитальный ремонт внутридомовых инженерных систем электроснабжения многоквартирного дома, расположенного по адресу: 
Владимирская область, г. Владимир, ул. Народная д. 1-а
Выполнение работ по разработке проектно-сметной документации на капитальный ремонт внутридомовых инженерных систем электроснабжения многоквартирного дома, расположенного по адресу: 
Владимирская область, г. Владимир, ул. Пичугина д. 1/2
Выполнение работ по разработке проектно-сметной документации на капитальный ремонт внутридомовых инженерных систем электроснабжения многоквартирного дома, расположенного по адресу: 
Владимирская область, г. Владимир, ул. Пичугина д. 3
</t>
  </si>
  <si>
    <t>FKR02061700090</t>
  </si>
  <si>
    <t xml:space="preserve">Протокол  рассмотрения зявок на участие в процедуре 
 Реестровый номер: FKR02061700090 от 4 июля 2017 года
 </t>
  </si>
  <si>
    <t>Выполнение работ по разработке проектно-сметной документации на капитальный ремонт внутридомовых инженерных систем электроснабжения, теплоснабжения, горячего и холодного водоснабжения и водоотведения многоквартирного дома, расположенного по адресу:
Владимирская область, г. Ковров ул. Пугачева д. 23
Выполнение работ по разработке проектно-сметной документации на капитальный ремонт внутридомовых инженерных систем электроснабжения, теплоснабжения, холодного водоснабжения и водоотведения многоквартирных домов, расположенных по следующим адресам:
Владимирская область:
г. Ковров, ул. Набережная, д. 19
Ковровский район, п. Малыгино, ул. Школьная, д. 60
Выполнение работ по разработке проектно-сметной документации на капитальный ремонт внутридомовых инженерных систем электроснабжения, теплоснабжения и холодного водоснабжения многоквартирных домов, расположенных по следующим адресам:
Владимирская область, г. Ковров:
ул. МОПРа, д. 29
ул. МОПРа, д. 35
ул. Туманова, д. 14
ул. Туманова, д. 20
ул. Туманова, д. 4
ул. Туманова, д. 6
Выполнение работ по разработке проектно-сметной документации на капитальный ремонт внутридомовых инженерных систем электроснабжения и теплоснабжения многоквартирного дома, расположенного по адресу:
Владимирская область, г. Ковров, ул. Фрунзе, д. 13
Выполнение работ по разработке проектно-сметной документации на капитальный ремонт внутридомовых инженерных систем теплоснабжения и водоотведения многоквартирного дома, расположенного по адресу:
Владимирская область, г. Ковров, ул. Сосновая, д. 28
Выполнение работ по разработке проектно-сметной документации на капитальный ремонт внутридомовых инженерных систем водоотведения многоквартирного дома, расположенного по адресу:
Владимирская область, г. Ковров, ул. Генералова, 
д. 90
Выполнение работ по разработке проектно-сметной документации на капитальный ремонт внутридомовых инженерных систем электроснабжения многоквартирного дома, расположенного по адресу:
Владимирская область, Ковровский район, 
п. Красный Октябрь, ул. Мира, д. 11</t>
  </si>
  <si>
    <t>FKR02061700091</t>
  </si>
  <si>
    <t xml:space="preserve">Протокол  рассмотрения зявок на участие в процедуре 
 Реестровый номер: FKR02061700091 от 4 июля 2017 года
 </t>
  </si>
  <si>
    <t>Выполнение работ по разработке проектно-сметной документации на капитальный ремонт внутридомовых инженерных систем теплоснабжения, горячего и холодного водоснабжения многоквартирного дома, расположенного по адресу:
Владимирская область, Петушинский район, п. Вольгинский, ул. Старовская, д. 6</t>
  </si>
  <si>
    <t>FKR02061700092</t>
  </si>
  <si>
    <t xml:space="preserve">Протокол  рассмотрения зявок на участие в процедуре 
 Реестровый номер: FKR02061700092 от 4 июля 2017 года
 </t>
  </si>
  <si>
    <t>Выполнение работ по разработке проектно-сметной документации на капитальный ремонт внутридомовых инженерных систем горячего и холодного водоснабжения, водоотведения многоквартирного дома, расположенного по адресу:
Владимирская область, Петушинский район, 
г. Покров, ул. Пролетарская, д. 3
Выполнение работ по разработке проектно-сметной документации на капитальный ремонт внутридомовых инженерных систем теплоснабжения многоквартирных домов, расположенных по следующим адресам:
Владимирская область: 
Собинский район, п. Ставрово, ул. Октябрьская, д. 142
Петушинский район, г. Покров, ул. Первомайская, д. 1</t>
  </si>
  <si>
    <t>423 230,00</t>
  </si>
  <si>
    <t>FKR050617000125</t>
  </si>
  <si>
    <t xml:space="preserve">Протокол  рассмотрения зявок на участие в процедуре 
 Реестровый номер: FKR050617000125 от 10 июля 2017 года
 </t>
  </si>
  <si>
    <t>Выполнение работ по капитальному ремонту крыш многоквартирных домов, расположенных по следующим адресам: 
Владимирская область, г. Владимир:
ул. Элеваторная, д.16
ул. Даргомыжского, д.2
ул. Стасова, д.38
ул. Березина, д.5</t>
  </si>
  <si>
    <t>FKR02061700064</t>
  </si>
  <si>
    <t xml:space="preserve">Протокол проведения электронного аукциона 
 Реестровый номер: FKR02061700064 от 7 июля 2017 года
 </t>
  </si>
  <si>
    <t xml:space="preserve">Выполнение работ по капитальному ремонту фасадов многоквартирных домов, расположенных по следующим адресам: 
Владимирская область, Селивановский район:
с. Малышево, ул. Школьная, д. 4
д. Новлянка, ул. Совхозная,  д. 26
</t>
  </si>
  <si>
    <t>FKR07061700004</t>
  </si>
  <si>
    <t xml:space="preserve">Протокол  рассмотрения зявок на участие в процедуре 
 Реестровый номер: FKR07061700004 от 11 июля 2017 года
 </t>
  </si>
  <si>
    <t>Выполнение работ по капитальному ремонту подвальных помещений многоквартирных домов, расположенных по следующим адресам: 
Владимирская область г. Юрьев-Польский:
ул. Чехова, д.13
ул. Чехова, д.17</t>
  </si>
  <si>
    <t xml:space="preserve">Дата заключения и номер договора </t>
  </si>
  <si>
    <t>№293/2016 13.02.2017</t>
  </si>
  <si>
    <t>№297/2016 14.03.2017</t>
  </si>
  <si>
    <t>№294/2016 17.03.2017</t>
  </si>
  <si>
    <t>№296/2016 14.03.2017</t>
  </si>
  <si>
    <t>№295/2016 14.03.2017</t>
  </si>
  <si>
    <t>№301/2016 05.04.2017</t>
  </si>
  <si>
    <t>№300/2016 06.04.2017</t>
  </si>
  <si>
    <t>№298/2016 07.04.2017</t>
  </si>
  <si>
    <t>№299/2016 07.04.2017</t>
  </si>
  <si>
    <t>№302/2016 04.05.2017</t>
  </si>
  <si>
    <t>№137/2017 18.05.2017</t>
  </si>
  <si>
    <t>№138/2017 18.05.2017</t>
  </si>
  <si>
    <t>№139/2017 18.05.2017</t>
  </si>
  <si>
    <t>№140/2017 18.05.2017</t>
  </si>
  <si>
    <t>№142/2017 22.05.2017</t>
  </si>
  <si>
    <t>№143/2017 22.05.2017</t>
  </si>
  <si>
    <t>№144/2017 29.05.2017</t>
  </si>
  <si>
    <t>№145/2017 02.06.2017</t>
  </si>
  <si>
    <t>№146/2017 02.06.2017</t>
  </si>
  <si>
    <t>№303/2016 02.06.2017</t>
  </si>
  <si>
    <t>№304/2016 06.06.2017</t>
  </si>
  <si>
    <t>№305/2016 08.06.2017</t>
  </si>
  <si>
    <t>№147/2017 14.06.2017</t>
  </si>
  <si>
    <t>№149/2017 14.06.2017</t>
  </si>
  <si>
    <t>№306/2016 14.06.2017</t>
  </si>
  <si>
    <t>№307/2016 14.06.2017</t>
  </si>
  <si>
    <t>№150/2017 14.06.2017</t>
  </si>
  <si>
    <t>№151/2017 14.06.2017</t>
  </si>
  <si>
    <t>№153/2017 16.06.2017</t>
  </si>
  <si>
    <t>№308/2016 20.06.2017</t>
  </si>
  <si>
    <t>№154/2017 20.06.2017</t>
  </si>
  <si>
    <t>№155/2017 23.06.2017</t>
  </si>
  <si>
    <t>№156/2017 23.06.2017</t>
  </si>
  <si>
    <t>№157/2017 27.06.2017</t>
  </si>
  <si>
    <t>№159/2017 27.06.2017</t>
  </si>
  <si>
    <t>№160/2017 27.06.2017</t>
  </si>
  <si>
    <t>№165/2017 27.06.2017</t>
  </si>
  <si>
    <t>№161/2017 27.06.2017</t>
  </si>
  <si>
    <t>№162/2017 27.06.2017</t>
  </si>
  <si>
    <t>№158/2017 28.06.2017</t>
  </si>
  <si>
    <t>№163/2017 30.06.2017</t>
  </si>
  <si>
    <t>№164/2017 30.06.2017</t>
  </si>
  <si>
    <t>№167/2017 03.07.2017</t>
  </si>
  <si>
    <t>№171/2017 05.07.2017</t>
  </si>
  <si>
    <t>№166/2017 30.06.2017</t>
  </si>
  <si>
    <t>№313/2016 06.07.2017</t>
  </si>
  <si>
    <t>№170/2017 07.07.2017</t>
  </si>
  <si>
    <t>№168/2017 07.07.2017</t>
  </si>
  <si>
    <t>№148/2017 07.07.2017</t>
  </si>
  <si>
    <t>№169/2017 07.07.2017</t>
  </si>
  <si>
    <t>№177/2017 11.07.2017</t>
  </si>
  <si>
    <t>№312/2016 11.07.2017</t>
  </si>
  <si>
    <t>№175/2017 11.07.2017</t>
  </si>
  <si>
    <t>№311/2016 11.07.2017</t>
  </si>
  <si>
    <t>№172/2017 11.07.2017</t>
  </si>
  <si>
    <t>№173/2017 11.07.2017</t>
  </si>
  <si>
    <t>№174/2017 11.07.2017</t>
  </si>
  <si>
    <t>№310/2016 11.07.2017</t>
  </si>
  <si>
    <t>№176/2017 11.07.2017</t>
  </si>
  <si>
    <t>№178/2017 11.07.2017</t>
  </si>
  <si>
    <t>№309/2016 07.07.2017</t>
  </si>
  <si>
    <t>№179/2017 11.07.2017</t>
  </si>
  <si>
    <t>№180/2017 17.07.2017</t>
  </si>
  <si>
    <t>№184/2017 19.07.2017</t>
  </si>
  <si>
    <t>№187/2017 20.07.2017</t>
  </si>
  <si>
    <t>№181/2017 21.07.2017</t>
  </si>
  <si>
    <t>№182/2017 21.07.2017</t>
  </si>
  <si>
    <t>№188/2017 21.07.2017</t>
  </si>
  <si>
    <t>№189/2017 21.07.2017</t>
  </si>
  <si>
    <t>№190/2017 21.07.2017</t>
  </si>
  <si>
    <t>№191/2017 21.07.2017</t>
  </si>
  <si>
    <t>№192/2017 21.07.2017</t>
  </si>
  <si>
    <t>№193/2017 21.07.2017</t>
  </si>
  <si>
    <t>№186/2017 26.07.2017</t>
  </si>
  <si>
    <t>FKR15061700016</t>
  </si>
  <si>
    <t xml:space="preserve">Протокол  рассмотрения зявок на участие в процедуре 
 Реестровый номер: FKR15061700016 от 18 июля 2017 года
 </t>
  </si>
  <si>
    <t>№195/2017</t>
  </si>
  <si>
    <t xml:space="preserve">Выполнение работ по капитальному ремонту фасада  многоквартирного дома, расположенного по адресу:
Владимирская область, г. Владимир, 
ул. Дворянская, д.15
</t>
  </si>
  <si>
    <t>31.11.2017</t>
  </si>
  <si>
    <t>FKR15061700015</t>
  </si>
  <si>
    <t xml:space="preserve">Протокол проведения электронного аукциона 
 Реестровый номер: FKR15061700015 от 21 июля 2017 года
 </t>
  </si>
  <si>
    <t>№ 196/2017 от 09.08.2017</t>
  </si>
  <si>
    <t>Выполнение работ по капитальному ремонту крыши многоквартирного дома, расположенного по адресу: 
Владимирская область г. Владимир,
 ул. Алябьева, д. 13</t>
  </si>
  <si>
    <t xml:space="preserve">1 336 104.00 </t>
  </si>
  <si>
    <t>0.5%</t>
  </si>
  <si>
    <t>доп. согл. по УСН        1248480,24</t>
  </si>
  <si>
    <t>FKR23061700013</t>
  </si>
  <si>
    <t xml:space="preserve">Протокол проведения электронного аукциона 
 Реестровый номер: FKR23061700013 от 28 июля 2017 года
 </t>
  </si>
  <si>
    <t>№315/2016 от 16.08.2017</t>
  </si>
  <si>
    <t xml:space="preserve">Выполнение работ по капитальному ремонту фасадов многоквартирных домов, расположенных по следующим адресам:
Гороховецкий район, п. Чулково, 
ул. Сосновая, д. 3
Вязниковский район, д. Буторлино,                             ул. Школьная, д. 18
</t>
  </si>
  <si>
    <t>12.50%</t>
  </si>
  <si>
    <t xml:space="preserve">Индивидуальный предприниматель  
Ершов Илья Васильевич
</t>
  </si>
  <si>
    <t xml:space="preserve">Владимирская область. Муромский
район, д. Волнино, ул. Луговая, д. 10
</t>
  </si>
  <si>
    <t>доп. согл. по УСН        2057195,16</t>
  </si>
  <si>
    <t>FKR28061700059</t>
  </si>
  <si>
    <t xml:space="preserve">Протокол  рассмотрения зявок на участие в процедуре 
 Реестровый номер: FKR28061700059 от 31 июля 2017 года
 </t>
  </si>
  <si>
    <t>№ 197/2017 от 18.08.2017</t>
  </si>
  <si>
    <t xml:space="preserve">Выполнение работ по капитальному ремонту крыш многоквартирных домов, расположенных по следующим адресам: 
Владимирская область, г. Владимир:
пр-т Строителей, д. 6-а 
ул. Лакина, д. 133 </t>
  </si>
  <si>
    <t xml:space="preserve">Общество с ограниченной ответственностью
«Айпол-инвест»
</t>
  </si>
  <si>
    <t>г. Вологда, ул. Первомайская, д. 33, д. 1</t>
  </si>
  <si>
    <t>FKR28061700061</t>
  </si>
  <si>
    <t xml:space="preserve">Протокол  рассмотрения зявок на участие в процедуре 
 Реестровый номер: FKR28061700061 от 31 июля 2017 года
 </t>
  </si>
  <si>
    <t>№ 198/2017 от 18.08.2017</t>
  </si>
  <si>
    <t>Выполнение работ по капитальному ремонту фасада многоквартирного дома, расположенного по адресу:
Владимирская область  г. Владимир, Октябрьский пр-кт, д.44</t>
  </si>
  <si>
    <t>FKR30061700010</t>
  </si>
  <si>
    <t xml:space="preserve">Протокол  рассмотрения зявок на участие в процедуре 
 Реестровый номер: FKR30061700010 от 31 июля 2017 года
 </t>
  </si>
  <si>
    <t>№ 185/2017 от 18.08.2017</t>
  </si>
  <si>
    <t xml:space="preserve">Выполнение работ по капитальному ремонту фасадов многоквартирных домов, расположенных по следующим адресам Владимирская область, 
г. Владимир:
ул. Горького, д. 78 
ул. Стасова, д. 30 
ул. Усти-на-Лабе, д. 5-б  </t>
  </si>
  <si>
    <t>2 698 514,74</t>
  </si>
  <si>
    <t>FKR28061700062</t>
  </si>
  <si>
    <t>Протокол проведения электронного аукциона 
 Реестровый номер: FKR28061700062 от 3 августа 2017 года</t>
  </si>
  <si>
    <t>№ 199/2017 от 21.08.2017</t>
  </si>
  <si>
    <t xml:space="preserve">Выполнение работ по капитальному ремонту крыш многоквартирных домов, расположенных по следующим адресам Владимирская область, 
г. Владимир: 
пр-кт Строителей, д.13 
пр-кт Строителей, д.15 
пр-кт Строителей, д.19  </t>
  </si>
  <si>
    <t xml:space="preserve">Индивидуальный предприниматель
Артемьев Владимир Валентинович
</t>
  </si>
  <si>
    <t xml:space="preserve">Владимир, ул. Куйбышева, 
д. 46а, оф. 72
</t>
  </si>
  <si>
    <t>доп. согл. по УСН        7369965,79</t>
  </si>
  <si>
    <t>FKR28061700063</t>
  </si>
  <si>
    <t>№ 200/2017 от 22.08.2017</t>
  </si>
  <si>
    <t>Выполнение работ по капитальному ремонту крыш многоквартирных домов, расположенных по следующим адресам Владимирская область, г. Владимир: 
пр-кт Ленина, д. 12 
пр-кт Ленина, д. 19</t>
  </si>
  <si>
    <t>FKR06071700042</t>
  </si>
  <si>
    <t>Протокол проведения электронного аукциона 
 Реестровый номер: FKR06071700042 от 10 августа 2017 года</t>
  </si>
  <si>
    <t>№ 204/2017 от 23.08.2017</t>
  </si>
  <si>
    <t xml:space="preserve">Выполнение работ по капитальному ремонту фасада  многоквартирного дома, расположенного по адресу:
Владимирская область, г. Радужный, 
1-й квартал, д.3
</t>
  </si>
  <si>
    <t>ООО УК"Спецстройгарант-1"</t>
  </si>
  <si>
    <t>601203 Владимирская область, г. Собинка, ул. Молодежная,    д. 2а</t>
  </si>
  <si>
    <t>FKR06071700044</t>
  </si>
  <si>
    <t>Протокол проведения электронного аукциона 
 Реестровый номер: FKR06071700044 от 10 августа 2017 года</t>
  </si>
  <si>
    <t>№ 206/2017 от 25.08.2017</t>
  </si>
  <si>
    <t xml:space="preserve">Выполнение работ по капитальному ремонту крыши  многоквартирного дома, расположенного по адресу:
Владимирская область, г. Владимир, 
ул. Горького, д.75
</t>
  </si>
  <si>
    <t>FKR05071700004</t>
  </si>
  <si>
    <t>Протокол  рассмотрения зявок на участие в процедуре 
 Реестровый номер: FKR05071700004 от 7 августа 2017 года</t>
  </si>
  <si>
    <t>№ 201/2017 от 25.08.2017</t>
  </si>
  <si>
    <t>Выполнение работ по капитальному ремонту крыш многоквартирных домов, расположенных по следующим адресам: Владимирская область, г. Владимир:
ул. Строителей, д. 2
ул. Стасова, д. 25 
ул. Лесная, д. 2</t>
  </si>
  <si>
    <t>FKR06071700045</t>
  </si>
  <si>
    <t>Протокол  рассмотрения зявок на участие в процедуре 
 Реестровый номер: FKR06071700045 от 7 августа 2017 года</t>
  </si>
  <si>
    <t>№ 202/2017 от 25.08.2017</t>
  </si>
  <si>
    <t>Выполнение работ по капитальному ремонту крыш многоквартирных домов, расположенных по следующим адресам: Владимирская область, г. Владимир:
ул. Мира, д. 82
ул. Каманина, д. 37
ул. Кирова, д. 16</t>
  </si>
  <si>
    <t>FKR05071700005</t>
  </si>
  <si>
    <t>Протокол проведения электронного аукциона 
 Реестровый номер: FKR05071700005 от 10 августа 2017 года</t>
  </si>
  <si>
    <t>№ 203/2017 от 25.08.2017</t>
  </si>
  <si>
    <t>Выполнение работ по капитальному ремонту крыши многоквартирного дома, расположенного по адресу:
Владимирская область, г. Владимир, 
ул. Лермонтова, д. 30-в</t>
  </si>
  <si>
    <t>FKR11071700017</t>
  </si>
  <si>
    <t>Протокол  рассмотрения зявок на участие в процедуре 
 Реестровый номер: FKR11071700017 от 14 августа 2017 года</t>
  </si>
  <si>
    <t>№ 208/2017 от 29.08.2017</t>
  </si>
  <si>
    <t>Выполнение работ по капитальному ремонту фасадов многоквартирных домов, расположенных по следующим адресам:
Владимирская область, Юрьев-Польский район, г. Юрьев-Польский:
ул. Железнодорожная, д. 11
ул. Павших борцов, д. 5</t>
  </si>
  <si>
    <t>доп. согл. По УСН             1893262,66</t>
  </si>
  <si>
    <t>FKR12071700009</t>
  </si>
  <si>
    <t>Протокол  рассмотрения зявок на участие в процедуре 
 Реестровый номер: FKR12071700009 от 14 августа 2017 года</t>
  </si>
  <si>
    <t>№ 209/2017 от 25.08.2017</t>
  </si>
  <si>
    <t>Разработка проектно-сметной документации 
на капитальный ремонт лифта г. Владимир, ул. Безыменского, 10</t>
  </si>
  <si>
    <t xml:space="preserve">ЗАО НПО
«Техкранэнерго»
</t>
  </si>
  <si>
    <t>г. Владимир, ул Полины Осипенко, д. 66</t>
  </si>
  <si>
    <t>FKR06071700043</t>
  </si>
  <si>
    <t>Протокол проведения электронного аукциона 
 Реестровый номер: FKR06071700043 от 10 августа 2017 года</t>
  </si>
  <si>
    <t>№ 205/2017 от 29.08.2017</t>
  </si>
  <si>
    <t>Выполнение работ по капитальному ремонту крыши многоквартирного дома, расположенного по адресу:
Владимирская область, г. Владимир, 
ул. Молодежная, д. 5</t>
  </si>
  <si>
    <t>FKR12071700008</t>
  </si>
  <si>
    <t>Протокол  рассмотрения зявок на участие в процедуре 
 Реестровый номер: FKR12071700008 от 14 августа 2017 года</t>
  </si>
  <si>
    <t>№ 207/2017 от 29.08.2017</t>
  </si>
  <si>
    <t>Выполнение работ по капитальному ремонту крыши многоквартирного дома, расположенного по адресу:
Владимирская область, г. Владимир, 
ул. Мира, д. 90</t>
  </si>
  <si>
    <t>Средства собственников помещений</t>
  </si>
  <si>
    <t>Закупка у единственного поставщика</t>
  </si>
  <si>
    <t>решение комиссии администрации муниципального образования Паустовское от 6.06.2017 г. № 3; протокол собственников указанного дома от 24.08.2017 г.</t>
  </si>
  <si>
    <t>№ 216/2017 от 31.08.2017</t>
  </si>
  <si>
    <t>Выполнение работ по капитальному ремонту крыши многоквартирных домов, расположенных по адресам:
- Владимирская область, Вязниковский район, с.Сергиевы-Горки, ул.Молодежная, д.2</t>
  </si>
  <si>
    <t>FKR12071700007</t>
  </si>
  <si>
    <t>Протокол  рассмотрения зявок на участие в процедуре 
 Реестровый номер: FKR12071700007 от 14 августа 2017 года</t>
  </si>
  <si>
    <t>№ 210/2017 от 30.08.2017</t>
  </si>
  <si>
    <t>Выполнение работ по капитальному ремонту крыши многоквартирных домов, расположенных по адресам:
- Владимирская область, Александровский р-н 
п. Балакирево, кв-л Юго-Западный, д.3, д.5,д.12</t>
  </si>
  <si>
    <t>ООО "Золотые ворота"</t>
  </si>
  <si>
    <t>г. Радужный, ул. 1 квартал,    д. 58, оф.1</t>
  </si>
  <si>
    <t>доп. согл. по УСН        6 813 299,86</t>
  </si>
  <si>
    <t>FKR12071700005</t>
  </si>
  <si>
    <t xml:space="preserve">Протокол  рассмотрения зявок на участие в электронном аукционе 
 Реестровый номер: FKR12071700005 от 21 августа 2017 года
 </t>
  </si>
  <si>
    <t>№214/2017 07.09.2017</t>
  </si>
  <si>
    <t xml:space="preserve">Выполнение работ по капитальному ремонту крыши  многоквартирного дома, расположенного по адресу:
г.Владимир, ул.1-я Пионерская, д.88
</t>
  </si>
  <si>
    <t>FKR12071700006</t>
  </si>
  <si>
    <t>Протокол проведения электронного аукциона  
 Реестровый номер: FKR12071700006 от 24 августа 2017 года</t>
  </si>
  <si>
    <t>№ 215/2017 от 5.09.2017</t>
  </si>
  <si>
    <t>Выполнение работ по капитальному ремонту крыши многоквартирных домов, расположенных по адресам:
г. Владимир, Стрелецкий городок, д.51                                 г. Владимир, ул. Сурикова, д.2                                               г. Владимир, ул. Чайковского, д.26</t>
  </si>
  <si>
    <t>доп. согл. по УСН                         2 387 763,69</t>
  </si>
  <si>
    <t>FKR11071700020</t>
  </si>
  <si>
    <t>Протокол  рассмотрения зявок на участие в электронном аукционе  реестровый номер FKR11071700020                от 21 августа 2017 года</t>
  </si>
  <si>
    <t>№213/2017 08.09.2017</t>
  </si>
  <si>
    <t xml:space="preserve">Выполнение работ по капитальному ремонту крыш многоквартирных домов, расположенных по следующим адресам:                                                              г. Владимир, ул. Алябьева, д.3;
г. Владимир, пр-д Чайковского, д.5;
 г. Владимир, пр-д Чайковского, д.7;
г. Владимир, ул. Элеваторная, д.14-Б
</t>
  </si>
  <si>
    <t>доп. согл. По УСН               4 628 960,25</t>
  </si>
  <si>
    <t>FKR14071700013</t>
  </si>
  <si>
    <t>Протокол  рассмотрения зявок на участие в электронном аукционе  реестровый номер FKR14071700013  от 17 августа 2017 года</t>
  </si>
  <si>
    <t>№212/2017 05.09.2017</t>
  </si>
  <si>
    <t>Выполнение работ по капитальному ремонту крыш многоквартирных домов, расположенных по следующим адресам:                                                              г. Владимир, ул. Горького, д.68                                     г.Владимир, ул.Горького, д.74</t>
  </si>
  <si>
    <t>ИП Платонов Н.Н.</t>
  </si>
  <si>
    <t>600028, г.Владимир, ул.Собинская, д.24</t>
  </si>
  <si>
    <t>доп. согл. По УСН               5 085 306,05</t>
  </si>
  <si>
    <t>FKR14071700012</t>
  </si>
  <si>
    <t>Протокол  рассмотрения зявок на участие в электронном аукционе  реестровый номер FKR14071700012  от 17 августа 2017 года</t>
  </si>
  <si>
    <t>№211/2017 05.09.2017</t>
  </si>
  <si>
    <t>Выполнение работ по капитальному ремонту крыш многоквартирных домов, расположенных по следующим адресам:                                                              г. Владимир, ул. Горького, д.66                                 г.Владимир, ул.Горького, д.85</t>
  </si>
  <si>
    <t>доп. согл. По УСН               4 945 670,68</t>
  </si>
  <si>
    <t>FKR28071700003</t>
  </si>
  <si>
    <t>Протокол  рассмотрения зявок на участие в электронном аукционе  реестровый номер FKR28071700003  от 29 августа 2017 года</t>
  </si>
  <si>
    <t>№217/2017 14.09.2017</t>
  </si>
  <si>
    <t>Выполнение работ по капитальному ремонту крыш многоквартирных домов, расположенных по следующим адресам:                                                              г. Владимир, мкр.Мостострой, ул.Школьная, д.10             г.Владимир, ул.Чайковского, д.19/1                              г.Владимир, ул.Мира, д.26</t>
  </si>
  <si>
    <t>ООО "Евротрангаз"</t>
  </si>
  <si>
    <t>доп. согл. По УСН               5983302,60</t>
  </si>
  <si>
    <t>FKR28071700002</t>
  </si>
  <si>
    <t>Протокол  рассмотрения зявок на участие в электронном аукционе  реестровый номер FKR28071700002  от 29 августа 2017 года</t>
  </si>
  <si>
    <t>№218/2017 14.09.2017</t>
  </si>
  <si>
    <t>Выполнение работ по капитальному ремонту крыш многоквартирных домов, расположенных по следующим адресам:                                                              г. Владимир, ул.П.Осипенко, д.10                         г.Владимир, ул.Усти-на-Лабе, д.17</t>
  </si>
  <si>
    <t>доп. согл. По УСН               5771038,62</t>
  </si>
  <si>
    <t>FKR01081700007</t>
  </si>
  <si>
    <t>Протокол проведения электронного аукциона 
 Реестровый номер: FK01081700007 от                        4 сентября 2017 года</t>
  </si>
  <si>
    <t>№ 219/2017 от 21.09.2017</t>
  </si>
  <si>
    <t xml:space="preserve">Выполнение работ по капитальному ремонту крыши  многоквартирного дома, расположенного по адресу:
Владимирская область, г. Владимир, 
ул. Горького, д.71; г.Владимир, ул.Горького, д.73
</t>
  </si>
  <si>
    <t>доп. согл. По УСН             4 408 560,92</t>
  </si>
  <si>
    <t>FKR08081700018</t>
  </si>
  <si>
    <t>Протокол  рассмотрения зявок на участие в процедуре 
 Реестровый номер: FKR08081700018 от 12 сентября 2017 года</t>
  </si>
  <si>
    <t>№ 220/2017 от 28.09.2017</t>
  </si>
  <si>
    <t xml:space="preserve">Разработка проектно-сметной документации 
на капитальный ремонт лифтового оборудования по адресам:г. Владимир, ул. Егорова, д.1а;            
г. Владимир, ул. Комиссарова, 67
г. Владимир, ул.Юбилейная, д.78
г. Владимир, ул. 9-го Января, д.1а
г. Владимир, ул. Верхняя Дуброва, 28а
г. Владимир, ул. Почаевская, д.2а
г. Владимир, ул. Горького, д.104
</t>
  </si>
  <si>
    <t>194/2017 25.07.2017</t>
  </si>
  <si>
    <t>Протокол  рассмотрения зявок на участие в электронном аукционе  реестровый номер FKR15081700004  от 25 сентября 2017 года</t>
  </si>
  <si>
    <t xml:space="preserve">221/2017 от
13.10.2017 </t>
  </si>
  <si>
    <t xml:space="preserve">Выполнение работ по разработке проектно-сметной документации на капитальный ремонт внутридомовых инженерных систем электроснабжения =Гороховецкий район,  с. Фоминки, ул. Совхозная д. 9
Выполнение работ по разработке проектно-сметной документации на капитальный ремонт внутридомовых инженерных систем электроснабжения, водоотведения - Гороховецкий район, с. Фоминки, ул. Чекунова, д. 2
Выполнение работ по разработке проектно-сметной документации на капитальный ремонт внутридомовых инженерных систем теплоснабжения - Гороховецкий район,  п. Пролетарский, ул. Новофабричная, д. 24
Выполнение работ по разработке проектно-сметной документации на капитальный ремонт внутридомовых инженерных систем электроснабжения, водоотведения - Вязниковский район, д. Паустово, ул. Текстильщиков, д. 15. Выполнение работ по разработке проектно-сметной документации на капитальный ремонт внутридомовых инженерных систем электроснабжения, водоотведения -Камешковский район, п. им. М.Горького, ул.Морозова д. 6.
Выполнение работ по разработке проектно-сметной документации на капитальный ремонт внутридомовых инженерных систем электроснабжения, водоотведения м- Камешковский район, г. Камешково ул. Дорофеичева д.17
</t>
  </si>
  <si>
    <t>не позднее 30 дней с
 даты заключения 
договора</t>
  </si>
  <si>
    <t>ООО 
"СМП-245-Энерго"</t>
  </si>
  <si>
    <t>г.Владимир, 
Коммунальный спуск, д.1</t>
  </si>
  <si>
    <t>Протокол  рассмотрения зявок на участие в электронном аукционе  реестровый номер FKR01091700003 от 03 октября 2017 года</t>
  </si>
  <si>
    <t>227/2017 от 
16.10.2017</t>
  </si>
  <si>
    <t xml:space="preserve">Выполнение работ по капитальному ремонту крыш 
 многоквартирных домов, расположенных по адресам:
- Владимирская область, Петушинский р-н, д. Липна, ул. Дачная, д.4;
- Владимирская область, Петушинский р-н, д. Воспушка, ул. Ленина, д.1.         
</t>
  </si>
  <si>
    <r>
      <t xml:space="preserve">д. Липна, ул. Дачная, д.4 - </t>
    </r>
    <r>
      <rPr>
        <b/>
        <sz val="11"/>
        <rFont val="Times New Roman"/>
        <family val="1"/>
        <charset val="204"/>
      </rPr>
      <t>с 23.10.2017
.по 29.12.2017</t>
    </r>
    <r>
      <rPr>
        <sz val="11"/>
        <rFont val="Times New Roman"/>
        <family val="1"/>
        <charset val="204"/>
      </rPr>
      <t xml:space="preserve">,        
д. Воспушка, ул.Ленина, д.1 - 
</t>
    </r>
    <r>
      <rPr>
        <b/>
        <sz val="11"/>
        <rFont val="Times New Roman"/>
        <family val="1"/>
        <charset val="204"/>
      </rPr>
      <t>01.11.2017-08.12.2017</t>
    </r>
  </si>
  <si>
    <t>ООО "ЭРГАНА"</t>
  </si>
  <si>
    <t>г.Владимир, 
ул. Электрозаводская, д.6</t>
  </si>
  <si>
    <t>решение комиссии по предупреждению и ликвидации чрезвычайных ситуацийи иобеспечению пожарной безопасности города Ковров от 28.08.2017 № 37</t>
  </si>
  <si>
    <t>№ 224/2017 от 05.10.2017</t>
  </si>
  <si>
    <t>Выполнение работ по капитальному ремонту крыши многоквартирных домов, расположенных по адресам:
- Владимирская область, г.Ковров, пр-кт Ленина, д.26</t>
  </si>
  <si>
    <t>ООО "КиТ"</t>
  </si>
  <si>
    <t>г.Ковров, ул.Абельмана, д.59</t>
  </si>
  <si>
    <t>Протокол  рассмотрения зявок на участие в электронном аукционе  реестровый номер FKR28081700021 от 28 сентября 2017 года</t>
  </si>
  <si>
    <t>223/2017 от
 17.10.2017</t>
  </si>
  <si>
    <t xml:space="preserve">Выполнение работ по капитальному ремонту фасада
 многоквартирного дома, расположенного по адресу:
 Владимирская область, Судогодский район, п. им.Воровского, ул. Спортивная, д.2-а.
</t>
  </si>
  <si>
    <t>18.10.17-
27.11.17</t>
  </si>
  <si>
    <t>г. Судогда, ул. Красная, 
д.42, кв.2</t>
  </si>
  <si>
    <t>Протокол  рассмотрения зявок на участие в электронном аукционе  реестровый номер FKR28081700016 от 28 сентября 2017 года</t>
  </si>
  <si>
    <t>222/2017</t>
  </si>
  <si>
    <t xml:space="preserve">Владимирская область,  г Ковров  
 ул Социалистическая д 10 - разработка проектно-сметной документации на капитальный ремонт внутридомовых инженерных систем электроснабжения
Владимирская область, г Меленки
 ул Коммунистическая д 28 - разработка проектно-сметной документации на капитальный ремонт крыши
Владимирская область, г Собинка 
ул Красная Звезда д 4 - разработка проектно-сметной документации на капитальный ремонт крыши
</t>
  </si>
  <si>
    <t>ООО "ПРОЕКТ"</t>
  </si>
  <si>
    <t>Ярославль, ул. Тургенева, д.17, оф.202,203</t>
  </si>
  <si>
    <t>Протокол  рассмотрения зявок на участие в электронном аукционе  реестровый номер FKR31081700009 от 03 октября 2017 года</t>
  </si>
  <si>
    <t>229/2017 от 18.10.2017</t>
  </si>
  <si>
    <t xml:space="preserve">Выполнение работ по капитальному ремонту крыш
 многоквартирных домов, расположенных по адресам:
 - Владимирская область, Вязниковский р-н, п. Никологоры, ул. Пушкинская, д.48
- Владимирская область, Вязниковский р-н, п. Лукнево, ул. Фабричная, д.21
</t>
  </si>
  <si>
    <t>Фабричная, 21 - 23.10.17-27.11.17
Пушкинская, 48 - 01.11.17-15.11.17</t>
  </si>
  <si>
    <t>пос. Муромский, Кольцевая, 29-6</t>
  </si>
  <si>
    <t>Протокол  рассмотрения зявок на участие в электронном аукционе  реестровый номер FKR1091700005 от 03 октября 2017 года</t>
  </si>
  <si>
    <t>226/2017 от 
20.10.2017</t>
  </si>
  <si>
    <t>Выполнение работ по капитальному ремонту крыши многоквартирного дома, расположенного по адресу:
Владимирская область, г. Юрьев-Польский, ул. Шибанкова, д.105.</t>
  </si>
  <si>
    <t>1% (УСНО)</t>
  </si>
  <si>
    <t>23.10.17-
10.11.17</t>
  </si>
  <si>
    <t>ИП Артемьев В.В.</t>
  </si>
  <si>
    <t>Владимир, Куйбышева,
 46-а, кв.72</t>
  </si>
  <si>
    <t>Протокол  рассмотрения зявок на участие в электронном аукционе  реестровый номер FKR 31081700010 от 03 октября 2017 года</t>
  </si>
  <si>
    <t>228/2017 от 
23.10.2017</t>
  </si>
  <si>
    <t>Выполнение работ по капитальному ремонту крыш многоквартирных домов, расположенных по адресам:
- Владимирская область, г. Киржач, ул.Павловского, д.32,
- Владимирская область, г. Киржач, ул.Павловского, д.34</t>
  </si>
  <si>
    <t>1%(УСНО)</t>
  </si>
  <si>
    <t xml:space="preserve">Павловского,
32 - 30.10.17-15.12.17
Павловского,34 - 30.10.17-20.01.18
</t>
  </si>
  <si>
    <t>ООО "СтройПлюс"</t>
  </si>
  <si>
    <t>Киржач г, Красный Октябрь мкр,
 Солнечный кв-л, 7а, 
кв. 24</t>
  </si>
  <si>
    <t>Протокол  рассмотрения зявок на участие в электронном аукционе  реестровый номер FKR 01091700007 от 03 октября 2017 года</t>
  </si>
  <si>
    <t>225/2017 от 23.10.2017</t>
  </si>
  <si>
    <t>Выполнение работ по капитальному ремонту крыш многоквартирных домов, расположенных по адресам:
- Владимирская область, г. Киржач, ул.Гайдара, д.15,
- Владимирская область, г. Киржач, ул.Морозовская, д.124</t>
  </si>
  <si>
    <t xml:space="preserve">Гайдара,
15 - 22.11.17-23.12.17
морозовского,124 - 22.11.17-27.12.17
</t>
  </si>
  <si>
    <t>ООО "ПЖЭП 
"Ком-Сервис"</t>
  </si>
  <si>
    <t>Кольчугино, Добровольского, 36</t>
  </si>
  <si>
    <t>Протокол  рассмотрения зявок на участие в электронном аукционе  реестровый номер FKR 01091700002 от 03 октября 2017 года</t>
  </si>
  <si>
    <t>231/2017 от 25.10.2017</t>
  </si>
  <si>
    <t>Строительный контроль при выполнении работ МКД Собинского района</t>
  </si>
  <si>
    <t>ООО "Юнирост"</t>
  </si>
  <si>
    <t>г. Москва, ул. Академика Королева, д.13</t>
  </si>
  <si>
    <t>Протокол  рассмотрения зявок на участие в электронном аукционе  реестровый номер FKR 01091700006 от 03 октября 2017 года</t>
  </si>
  <si>
    <t>230/2017 от 25.10.2017</t>
  </si>
  <si>
    <t>Выполнение работ по капитальному ремонту крыш многоквартирных домов, расположенных по адресам:
- Владимирская область, г. Киржач, ул.Своюода, 14,
- Владимирская область, г. Киржач, ул.Свобода, 16</t>
  </si>
  <si>
    <t>Свобода. 14 - 06.11.17-12.12.17
Свобода, 16 - 25.11.17-24.12.17</t>
  </si>
  <si>
    <t>ООО "Эргана"</t>
  </si>
  <si>
    <t>Владимир, Электрозаводская, д.6</t>
  </si>
  <si>
    <t>Протокол  рассмотрения зявок на участие в электронном аукционе  реестровый номер FKR 7091700006 от 09 октября 2017 года</t>
  </si>
  <si>
    <t>234/2017 от 26.10.2017</t>
  </si>
  <si>
    <t>Выполнение работ по капитальному ремонту крыш многоквартирных домов, расположенных по адресам:
- Владимирская область, г. Владимир, ул.Б.Нижегородская, 107-а,
- Владимирская область, г. Владимир, ул.Мира, д.45</t>
  </si>
  <si>
    <t>1% (УСН)</t>
  </si>
  <si>
    <t>Б.Нижегородская,107-а - 30.10.17-11.12.17
Мира, 45- 30.10.17-16.12.17</t>
  </si>
  <si>
    <t>ООО "Промремстрой"</t>
  </si>
  <si>
    <t>Владимир, Юрбевец, Рябиновая, д.51</t>
  </si>
  <si>
    <t>Протокол  рассмотрения зявок на участие в электронном аукционе  реестровый номер FKR 08091700024 от 09 октября 2017 года</t>
  </si>
  <si>
    <t>232/2017 от 26.10.2017</t>
  </si>
  <si>
    <t>Выполнение работ по капитальному ремонту крыши многоквартирного дома, расположенного по адресу:
- Владимирская область, г. Владимир, пр-т Строителей, д.23</t>
  </si>
  <si>
    <t>30.10.17-08.01.2018</t>
  </si>
  <si>
    <t>Протокол  рассмотрения зявок на участие в электронном аукционе  реестровый номер FKR 08091700023 от 09 октября 2017 года</t>
  </si>
  <si>
    <t>233/2017 от 27.10.2017</t>
  </si>
  <si>
    <r>
      <t xml:space="preserve">Выполнение работ по капитальному ремонту фасада многоквартирного дома, расположенного по адресу: Владимирская область, </t>
    </r>
    <r>
      <rPr>
        <sz val="11"/>
        <color theme="1"/>
        <rFont val="Times New Roman"/>
        <family val="1"/>
        <charset val="204"/>
      </rPr>
      <t>г. Гусь-Хрустальный, пр-т 50 лет Советской Власти, д. 30</t>
    </r>
  </si>
  <si>
    <t>25.04.2018-15.08.2018</t>
  </si>
  <si>
    <t>ООО "Акимстрой"</t>
  </si>
  <si>
    <t>Гусь-Хрустальный г, ул. Кравчинского, 23</t>
  </si>
  <si>
    <t>Протокол  рассмотрения зявок на участие в электронном аукционе  реестровый номер FKR 07091700005 от 11 октября 2017 года</t>
  </si>
  <si>
    <t>235/2017 от 27.10.2017</t>
  </si>
  <si>
    <t xml:space="preserve">Выполнение работ по капитальному ремонту крыш многоквартирных домов, расположенных по следующим адресам:
- Владимирская область, г. Владимир,  ул. Асаткина, д.18,
- Владимирская область, г. Владимир,  ул. Асаткина, д.19,
- Владимирская область, г. Владимир,   ул. Асаткина, д.26.
</t>
  </si>
  <si>
    <t>Асаткина, 18- 10.01.18-05.02.18
Асаткина,19-06.02.18-02.04.18
Асаткина,26-10.11.17-25.12.17</t>
  </si>
  <si>
    <t>ООО "Сомэй-Владимир"</t>
  </si>
  <si>
    <t>Владимир, Зеленая, 1А</t>
  </si>
  <si>
    <t>Протокол  рассмотрения зявок на участие в электронном аукционе  реестровый номер FKR 05091700003 от 09 октября 2017 года</t>
  </si>
  <si>
    <t>237/2017 от 27.10.2017</t>
  </si>
  <si>
    <t>Выполнение работ по капитальному ремонту крыши многоквартирного дома, расположенного по адресу:
- Владимирская область, г. Кольчугино, ул. Темкина, д.9</t>
  </si>
  <si>
    <t>26.10.17-12.11.2017</t>
  </si>
  <si>
    <t>ООО "Мастер"</t>
  </si>
  <si>
    <t>г. Александров, ул.советская, д.84</t>
  </si>
  <si>
    <t>Протокол  рассмотрения зявок на участие в электронном аукционе  реестровый номер FKR 05091700004 от 09 октября 2017 года</t>
  </si>
  <si>
    <t>236/2017 от 27.10.2017</t>
  </si>
  <si>
    <t>07.11.2017-18.05.2018</t>
  </si>
  <si>
    <t>г. Владимир, ул. Диктора Левитана, д.42, кв.1</t>
  </si>
  <si>
    <r>
      <t xml:space="preserve">Выполнение работ по капитальному ремонту фасада многоквартирного дома, расположенного по адресу: Владимирская область, </t>
    </r>
    <r>
      <rPr>
        <sz val="11"/>
        <color theme="1"/>
        <rFont val="Times New Roman"/>
        <family val="1"/>
        <charset val="204"/>
      </rPr>
      <t>г. Владимир, ул. Добросельская, д.202.</t>
    </r>
  </si>
  <si>
    <t>Протокол проведения электронного аукциона FKR 08091700022 от 16 октября 2017 года</t>
  </si>
  <si>
    <t>244/2017 от 31.10.2017</t>
  </si>
  <si>
    <t>Выполнение работ по капитальному ремонту ВИС теплоснабжения многоквартирного дома, расположенного по адресу: Владимирская область,г.Юрьев-Польский, ул. Шибанкова, д.87.</t>
  </si>
  <si>
    <t xml:space="preserve">1 586 799.56 </t>
  </si>
  <si>
    <t>03.11.2017-31.05.2018</t>
  </si>
  <si>
    <t>ИП Клюев В.Н.</t>
  </si>
  <si>
    <t>г. Юрьев-Польский, ул.Вокзальная, д.16, кв.70</t>
  </si>
  <si>
    <t>Протокол проведения электронного аукциона FKR 8091700026 от 16 октября 2017 года</t>
  </si>
  <si>
    <t>238/2017 от 31.10.2017</t>
  </si>
  <si>
    <t xml:space="preserve">Выполнение работ по капитальному ремонту ВИС теплоснабжения многоквартирного дома, расположенного по адресу: Владимирская область, г. Юрьев-Польский, пер. Промышленный, д. 4. </t>
  </si>
  <si>
    <t xml:space="preserve">1 343 652.71  </t>
  </si>
  <si>
    <t>20.12.2017-30.01.2017</t>
  </si>
  <si>
    <t>ООО "ПромСервис-Ковров"</t>
  </si>
  <si>
    <t>г.Ковров, ул.Рунова, д.25</t>
  </si>
  <si>
    <t>Протокол проведения электронного аукциона FKR 15091700001 от 17 октября 2017 года</t>
  </si>
  <si>
    <t>243/2017 от 03.11.2017</t>
  </si>
  <si>
    <t>Выполнение работ по капитальному ремонту крыши в многоквартирном доме, расположенном по адресу: Владимирская область, г. Владимир, ул. Горького, д.65.</t>
  </si>
  <si>
    <t>03.11.2017-29.12.2017</t>
  </si>
  <si>
    <t>г.Гусь-Хрустальный, ул.Муравьева-Апостола, 16-27</t>
  </si>
  <si>
    <t>Протокол проведения электронного аукциона FKR 25091700013 от 17 октября 2017 года</t>
  </si>
  <si>
    <t>242/2017 от 03.11.2017</t>
  </si>
  <si>
    <t>Выполнение работ по капитальному ремонту крыши в многоквартирном доме, расположенном по адресу: Владимирская область, г. Владимир, ул. МОПРа, д.14а.</t>
  </si>
  <si>
    <t>13.11.2017-11.12.2017</t>
  </si>
  <si>
    <t>Протокол проведения электронного аукциона FKR 20091700016 от 16 октября 2017 года</t>
  </si>
  <si>
    <t>240/2017 от 03.11.2017</t>
  </si>
  <si>
    <t xml:space="preserve">Выполнение работ по капитальному ремонту лифтового оборудования  многоквартирного дома, расположенного по адресу: Владимирская область, г. Александров, 
ул. Королева, д. 9, корп.1.
</t>
  </si>
  <si>
    <t>08.11.2017-25.12.2017</t>
  </si>
  <si>
    <t>ПАО "Карачаровский механический завод"</t>
  </si>
  <si>
    <t>г. Москва, Рязанский проспект, д.2</t>
  </si>
  <si>
    <t>Протокол проведения электронного аукциона FKR 20091700017 от 16 октября 2017 года</t>
  </si>
  <si>
    <t>241/2017 от 03.11.2017</t>
  </si>
  <si>
    <t xml:space="preserve">Выполнение работ по капитальному ремонту лифтового оборудования  многоквартирного дома, расположенного по адресу: Владимирская область, г. Александров, 
ул. Красный пер., д. 3 
</t>
  </si>
  <si>
    <t>Протокол проведения электронного аукциона FKR 08091700025 от 16 октября 2017 года</t>
  </si>
  <si>
    <t>239/2017 от 03.11.2017</t>
  </si>
  <si>
    <t xml:space="preserve">Выполнение работ по капитальному ремонту крыши  многоквартирного дома, расположенного по адресу: Владимирская область, Киржачский район, п. Першино, проезд Октябрят, д. 4 
</t>
  </si>
  <si>
    <t xml:space="preserve">1 929 364.13 </t>
  </si>
  <si>
    <t>13.11.17-31.12.17</t>
  </si>
  <si>
    <t>г. Киржач, мкр. Красный Октябрь, Солнечный квартал, 
д.7-а, оф.24</t>
  </si>
  <si>
    <t>FKR18091700001</t>
  </si>
  <si>
    <t>протокол рассмотрения заявок FKR18091700001 от                 20 октября 2017 года</t>
  </si>
  <si>
    <t>№ 245/2017 08.11.2017</t>
  </si>
  <si>
    <t xml:space="preserve">Выполнение работ по капитальному ремонту крыши многоквартирного дома, расположенного по адресу:
Владимирская область, г. Владимир, ул. Усти-на-Лабе, д.32/16
</t>
  </si>
  <si>
    <t>13.11.17-20.03.18</t>
  </si>
  <si>
    <t>FKR29091700008</t>
  </si>
  <si>
    <t>протокол рассмотрения заявок FKR29091700008 от                 20 октября 2017 года</t>
  </si>
  <si>
    <t>№ 249/2017 08.11.2017</t>
  </si>
  <si>
    <t xml:space="preserve">Выполнение работ по капитальному ремонту крыш многоквартирных домов, расположенных по адресам:
Владимирская область, г. Владимир, ул. Мира, д.23 
- Владимирская область, г. Владимир, ул. Мира, д.28 - 
</t>
  </si>
  <si>
    <t>мира, 23- 17.11.17-09.02.18.
мира,28 - 17.11.17-29.12.17</t>
  </si>
  <si>
    <t>ООО "Айпол-инвест"</t>
  </si>
  <si>
    <t>г.Вологда, ул. Первомайская, д.33, п.1</t>
  </si>
  <si>
    <t>FKR02101700009</t>
  </si>
  <si>
    <t>протокол рассмотрения заявок FKR02101700009 от                 24 октября 2017 года</t>
  </si>
  <si>
    <t>№ 250/2017 10.11.2017</t>
  </si>
  <si>
    <t xml:space="preserve">Выполнение работ по капитальному ремонту ВИС ХВС, водоотведения многоквартирных домов, расположенных по адресам:
Владимирская область, г. Киржач, Первомайская, 20
Владимирская область, г. Киржач, Первомайская, 24
</t>
  </si>
  <si>
    <t>Первомайская,20 - 13.11.17-24.11.17.
Первомайская,24 - 27.11.17-08.12.17</t>
  </si>
  <si>
    <t>FKR29091700007</t>
  </si>
  <si>
    <t xml:space="preserve">Протокол проведения электронного аукциона 
 Реестровый номер: FKR29091700007 от 20 октября 2017 года
 </t>
  </si>
  <si>
    <t>№ 246/2017 08.11.2017</t>
  </si>
  <si>
    <t xml:space="preserve">Выполнение работ по капитальному ремонту крыши в многоквартирном доме, расположенном по адресу: Владимирская область, г. Владимир, ул. Чайковского, д.21
</t>
  </si>
  <si>
    <t>20.11.17-25.01.2017</t>
  </si>
  <si>
    <t>FKR29091700009</t>
  </si>
  <si>
    <t xml:space="preserve">Протокол проведения электронного аукциона 
 Реестровый номер: FKR29091700009 от 20 октября 2017 года
 </t>
  </si>
  <si>
    <t>№ 247/2017 08.11.2017</t>
  </si>
  <si>
    <t>Выполнение работ по капитальному ремонту крыш в многоквартирных домах, расположенных по следующим адресам: 
- Владимирская область,  г. Владимир, 
ул. Алябьева, д.14/13,
- Владимирская область,  г. Владимир, 
ул. Стасова, д.15/12,
- Владимирская область,  г. Владимир, 
ул. Сурикова, д.3,
- Владимирская область,  г. Владимир, 
пр-д Чайковского, д.9.</t>
  </si>
  <si>
    <t>Стасова -28.12.17-24.01.18,
Чайковского - 25.01.17-21.02.18,
Алябьева - 20.11.17-27.12.17,
Сурикова - 08.02.18-07.03.18</t>
  </si>
  <si>
    <t>FKR29091700010</t>
  </si>
  <si>
    <t xml:space="preserve">Протокол проведения электронного аукциона 
 Реестровый номер: FKR29091700010 от 20 октября 2017 года
 </t>
  </si>
  <si>
    <t>№ 248/2017 08.11.2017</t>
  </si>
  <si>
    <t>Выполнение работ по капитальному ремонту крыши в многоквартирном доме, расположенном по адресу:
 - Владимирская область, г. Владимир, ул. Строрителей, д.6, 
- Владимирская область, г. Владимир, ул. Горького, д.73-а.</t>
  </si>
  <si>
    <t>Горького - 15.12.17-24.02.18,
Строителей,6 - 15.12.17-18.02.18</t>
  </si>
  <si>
    <t>Протокол проведения электронного аукциона FKR 28091700005 от 26 октября 2017 года</t>
  </si>
  <si>
    <t>253/2017 от 14.11.2017</t>
  </si>
  <si>
    <t>Выполнение работ по капитальному ремонту ВИС электроснабжения многоквартирного дома, расположенного по адресу: Владимирская область,Юрьев-Польский р-н, с. Косинское, ул. Школьная, д.1</t>
  </si>
  <si>
    <t>16.11.2017-24.11.2017</t>
  </si>
  <si>
    <t>Протокол проведения электронного аукциона FKR 2101700006 от 24 октября 2017 года</t>
  </si>
  <si>
    <t>251/2017 от 10.11.2017</t>
  </si>
  <si>
    <t>Выполнение работ по капитальному ремонту крыши многоквартирного дома, расположенного по адресу: Владимирская область, г. Кольчугино, ул. Ленина, д.7</t>
  </si>
  <si>
    <t>13.11.2017-25.02.2017</t>
  </si>
  <si>
    <t>г. Александров, ул. Советская, д.84</t>
  </si>
  <si>
    <t>FKR02101700007</t>
  </si>
  <si>
    <t xml:space="preserve">Протокол проведения электронного аукциона 
 Реестровый номер: FKR02101700007 от 24 октября 2017 года
 </t>
  </si>
  <si>
    <t>№ 252/2017 10.11.2017</t>
  </si>
  <si>
    <t xml:space="preserve">Выполнение работ по капитальному ремонту крыши в многоквартирном доме, расположенном по адресу:
 - Владимирская область, г. Владимир, 
ул. Строрителей, д.2. </t>
  </si>
  <si>
    <t>04.12.17-28.02.18</t>
  </si>
  <si>
    <t xml:space="preserve">Общество с ограниченной ответственностью
«Строительные технологии»
</t>
  </si>
  <si>
    <t xml:space="preserve">600000, Владимирская область, г. Владимир, 
ул.Растопчина, 47б
</t>
  </si>
  <si>
    <t>FKR28091700006</t>
  </si>
  <si>
    <t xml:space="preserve">Протокол проведения электронного аукциона  
 Реестровый номер: FKR28091700006 от 30.10.2017 года
 </t>
  </si>
  <si>
    <t>№ 254/2017 от 17.11.2017</t>
  </si>
  <si>
    <t xml:space="preserve">Выполнение работ по капитальному ремонту ВИС электроснабжения  многоквартирных домов, расположенных по адресам:
г.Муром, Куликова, 23
г.Муром, п. Фабрики, им. П.Л. Войкова, 23
</t>
  </si>
  <si>
    <t>Куликова,23 -18.11.17-04.12.17
Войкова,23 - 23.11.17-04.12.17</t>
  </si>
  <si>
    <t>FKR11101700001</t>
  </si>
  <si>
    <t xml:space="preserve">Протокол проведения электронного аукциона  
 Реестровый номер: FKR11101700001 от 03.11.2017 года
 </t>
  </si>
  <si>
    <t>№ 255/2017 от 22.11.2017</t>
  </si>
  <si>
    <t xml:space="preserve">Выполнение работ по капитальному ремонту фасада  многоквартирного дома, расположенного по адресу:
г.Владимир, Чайковского, 34
</t>
  </si>
  <si>
    <t>01.04.2018-30.06.2018</t>
  </si>
  <si>
    <t>Владимир, Диктора Левитана, 42-1</t>
  </si>
  <si>
    <t>FKR19101700011</t>
  </si>
  <si>
    <t>протокол рассмотрения заявок FKR19101700011 от                 10 ноября 2017 года</t>
  </si>
  <si>
    <t>№263/2017 27.11.2017</t>
  </si>
  <si>
    <t xml:space="preserve">Выполнение работ по капитальному ремонту фасада многоквартирного дома, расположенного по адресу:
Владимирская область, г. Владимир, ул. Лермонтова, д.40.
</t>
  </si>
  <si>
    <t>30.11.2017-12.12.2017</t>
  </si>
  <si>
    <t>№ 183/2017 от 14.07.2017</t>
  </si>
  <si>
    <t>решение комиссии по предупреждению и ликвидации чрезвычайных ситуацийи иобеспечению пожарной безопасности города Ковров от 18.08.2017 № 35</t>
  </si>
  <si>
    <t>№ 274/2017 от 27.11.2017</t>
  </si>
  <si>
    <t>Выполнение работ по капитальному ремонту крыши многоквартирных домов, расположенных по адресам:
- Владимирская область, г.Ковров, пр-кт Ленина, д.24</t>
  </si>
  <si>
    <t>11.12.2017            21.12.2017</t>
  </si>
  <si>
    <t>FKR16101700005</t>
  </si>
  <si>
    <t>№264/2017 29.11.2017</t>
  </si>
  <si>
    <t xml:space="preserve">Выполнение работ по капитальному ремонту фасада многоквартирного дома, расположенного по адресу:
Владимирская область, Собинский район, п. Ставрово, ул. Жуковского, д.9
</t>
  </si>
  <si>
    <t>01.05.2018-25.05.2018</t>
  </si>
  <si>
    <t>FKR18101700002</t>
  </si>
  <si>
    <t xml:space="preserve">Протокол проведения электронного аукциона  
FKR18101700002 от 13.11.2017 года
 </t>
  </si>
  <si>
    <t>№ 265/2017 от 30.11.2017</t>
  </si>
  <si>
    <t xml:space="preserve">Выполнение работ по капитальному ремонту крыш многоквартирных домов, расположенных по адресам:
Владимирская область, Петушинский район, п. Нагорный, ул. Владимирская, д.1, - Владимирская область, Петушинский район, г. Покров, ул. 3-го Интернационала, д.54б </t>
  </si>
  <si>
    <t>ООО "ЛиК-строймаркет"</t>
  </si>
  <si>
    <t>Брянский р-н, п. Путевка, ул. Строителей, д.23-39</t>
  </si>
  <si>
    <t>FKR16101700004</t>
  </si>
  <si>
    <t xml:space="preserve">Протокол проведения электронного аукциона  
FKR16101700004 от 13.11.2017 года
 </t>
  </si>
  <si>
    <t>№ 266/2017 от 30.11.2017</t>
  </si>
  <si>
    <t xml:space="preserve">Выполнение работ по капитальному ремонту крыши многоквартирного дома, расположенного по адресу:
Владимирская область, Петушинский район, г. Костерево, ул. Ленина, д.8 </t>
  </si>
  <si>
    <t>09.01.2017-07.02.2018</t>
  </si>
  <si>
    <t>FKR24101700001</t>
  </si>
  <si>
    <t>протокол рассмотрения заявок FKR24101700001 от                 14 ноября 2017 года</t>
  </si>
  <si>
    <t>№ 272/2017 от 30.11.2017</t>
  </si>
  <si>
    <t xml:space="preserve">Выполнение работ по капитальному ремонту крыш многоквартирных домах, расположенных по адресам:
Владимирская область, Петушинский район, 
г. Петушки, ул. Заводская, д.14,
- Владимирская область, Петушинский район, г. Петушки, ул. Заводская, д.16. </t>
  </si>
  <si>
    <t>Владимирская,1 -18.11.17-04.12.17
3-го Интернационала,54-б - 21.12.17-18.02.18</t>
  </si>
  <si>
    <t xml:space="preserve">Заводская,14 -
- Заводская, 16 - 22.01.2018-20.02.2018 </t>
  </si>
  <si>
    <t>FKR16101700003</t>
  </si>
  <si>
    <t>Протокол проведения электронного аукциона   FKR16101700003 от                 13 ноября 2017 года</t>
  </si>
  <si>
    <t>№ 267/2017 от 01.12.2017</t>
  </si>
  <si>
    <t>Выполнение работ по капитальному ремонту крыши многоквартирного дома, расположенного по адресу:
Владимирская область, г. Гусь-Хрустальный, пер. Гражданский, д.22/2.</t>
  </si>
  <si>
    <t xml:space="preserve">784 379.11 </t>
  </si>
  <si>
    <t>01.12.2017-25.12.2017</t>
  </si>
  <si>
    <t>ООО СК "Теплострой"</t>
  </si>
  <si>
    <t>Гусь-Хрустальный, Комсомольская, 28</t>
  </si>
  <si>
    <t>FKR23101700003</t>
  </si>
  <si>
    <t>протокол рассмотрения заявок FK23101700003 от                 14 ноября 2017 года</t>
  </si>
  <si>
    <t>№ 270/2017 от 01.12.2017</t>
  </si>
  <si>
    <t>Выполнение работ по капитальному ремонту крыш многоквартирных домов, расположенных по адресам:
Владимирская область, г. Владимир, ул. Луначарского, д.28,
- Владимирская область, г. Владимир, ул. Садовая, д.10</t>
  </si>
  <si>
    <t>Садовая,10 - 13.03.2018
Луначарского,28-14.03.2017-30.04.2018</t>
  </si>
  <si>
    <t>Радужный, 1 квартал, 58</t>
  </si>
  <si>
    <t>FKR23101700005</t>
  </si>
  <si>
    <t>протокол рассмотрения заявок FK23101700005 от                 14 ноября 2017 года</t>
  </si>
  <si>
    <t>№ 271/2017 от 01.12.2017</t>
  </si>
  <si>
    <t>Выполнение работ по капитальному ремонту внутридомовых инженерных систем холодного водоснабжения, теплоснабжения, электроснабжения по адресу:Владимирская область,  г. Гусь-Хрустальный, п. Новый, ул. Ленина, д.16</t>
  </si>
  <si>
    <t>26.05.2017-31.07.2018</t>
  </si>
  <si>
    <t>Гусь-Хрустальный, Кравчинского, 23</t>
  </si>
  <si>
    <t>FKR31101700017</t>
  </si>
  <si>
    <t xml:space="preserve">Протокол расссмотрения заявок 
FKR31101700017 от 21.11.2017 года
 </t>
  </si>
  <si>
    <t>№ 277/2017 от 11.12.2017</t>
  </si>
  <si>
    <t>Выполнение работ по капитальному ремонту крыши многоквартирного дома, расположенного по адресу:
Владимирская область, г. Владимир, ул. Лермонтова, д.30-б.</t>
  </si>
  <si>
    <t>15.01.2018-17.02.2018</t>
  </si>
  <si>
    <t>FKR31101700016</t>
  </si>
  <si>
    <t xml:space="preserve">Протокол расссмотрения заявок 
FKR31101700016 от 21.11.2017 года
 </t>
  </si>
  <si>
    <t>№ 276/2017 от 11.12.2017</t>
  </si>
  <si>
    <t>Выполнение работ по капитальному ремонту крыши многоквартирного дома, расположенного по адресу:
Владимирская область, г. Владимир, ул. Кирова, д.16</t>
  </si>
  <si>
    <t>15.01.2018-15.02.2018</t>
  </si>
  <si>
    <t>FKR31101700015</t>
  </si>
  <si>
    <t>протокол проведения аукциона FK31101700015 от                 27 ноября 2017 года</t>
  </si>
  <si>
    <t>№ 280/2017 от 11.12.2017</t>
  </si>
  <si>
    <t xml:space="preserve">Выполнение работ по капитальному ремонту крыши многоквартирного дома, расположенного по адресу:
г. Владимир, ул. Каманина, д.37 </t>
  </si>
  <si>
    <t xml:space="preserve">761 946.61 </t>
  </si>
  <si>
    <t>01.02.2018-19.02.2018</t>
  </si>
  <si>
    <t>FKR17101700006</t>
  </si>
  <si>
    <t>протокол проведения аукциона FK17101700006 от                 13 ноября 2017 года</t>
  </si>
  <si>
    <t>№ 269/2017 от 12.12.2017</t>
  </si>
  <si>
    <t>Выполнение работ по капитальному ремонту лифтового оборудования многоквартирных домов, расположенных по адресам:
- г. Ковров, ул. Зои Космодемьянской, д.7, корп.2 – 4 шт.,
- г. Ковров, ул. Ранжева, д.11 – 3 шт.,
- г. Ковров, ул. Пугачева, д.35 – 7 шт.,
- г. Владимир, ул. Ново-Ямская, д.21 – 2 шт.,
- г. Владимир, ул. Ново-Ямская, д.27 – 2 шт.,
- г. Владимир, ул. Ново-Ямская, д.31 – 2 шт.,
- г. Владимир, ул. Соколова-Соколенка, д.9-а – 4 шт.,
- г. Владимир, ул. Растопчина, д.43 – 2 шт.,
- г. Владимир, ул. Комиссарова, д.4-Б – 4 шт.,
- г. Владимир, ул. Жуковского, д.22 – 4 шт.,
- г. Владимир, ул. Безыменского, д.10 – 4 шт</t>
  </si>
  <si>
    <t>31.01.2018-31.03.2018</t>
  </si>
  <si>
    <t>ООО "Спецлифтремонт"</t>
  </si>
  <si>
    <t>Павловский Посад, Герцена, 18а, корп.2</t>
  </si>
  <si>
    <t>FKR17101700007</t>
  </si>
  <si>
    <t>протокол проведения аукциона FK17101700007 от                 13 ноября 2017 года</t>
  </si>
  <si>
    <t>№ 268/2017 от 12.12.2017</t>
  </si>
  <si>
    <t>Выполнение работ по капитальному ремонту лифтового оборудования многоквартирных домов, расположенных по адресам:
- г. Владимир, проспект Ленина, д.35 – 2 шт.,
- г. Владимир, проспект Ленина, д.41 – 2 шт.,
-  г. Владимир, ул. Нижняя Дуброва, д.37-а – 2 шт.</t>
  </si>
  <si>
    <t>FKR25101700071</t>
  </si>
  <si>
    <t>протокол проведения аукциона FK25101700071 от                 13 ноября 2017 года</t>
  </si>
  <si>
    <t>№ 273/2017 от 12.12.2017</t>
  </si>
  <si>
    <t>Выполнение работ по капитальному ремонту лифтового оборудования многоквартирных домов, расположенных по адресам:
1.   г. Владимир, ул. Егорова, д.1-а – 1 шт.,
2.   г. Владимир, ул. Комиссарова, д.67 – 1 шт.,
3.   г. Владимир, ул. Юбилейная, д.78 – 1 шт.,
4.   г. Владимир, ул. 9-го Января, д.1-а – 1 шт.,
5.   г. Владимир, ул. Верхняя Дуброва, д.28-а – 1 шт.,
6.   г. Владимир, ул. Почаевская, д.2-а – 1 шт.,
7.   г. Муром, пр-д Кооперативный, д.1 – 3 шт.,
8.   г. Муром, ул. Экземплярского, д.45 – 2 шт.,
9.   г. Владимир, мкр. Юрьевец, ул. Михалькова, д.1-б – 1 шт.,
10. Владимирская область, Ковровский район, п. Санатория им. Абельмана, д.1 – 2 шт.,
11. г. Владимир, ул. Горького, д.104 – 1 шт.
12. г. Владимир, ул. Комиссарова, д.18 -4 шт.
13. г. Владимир, ул. Верхняя Дуброва, д.31 -2 шт.
14. г. Владимир, ул. Верхняя Дуброва, д.37 – 2 шт.
15. г. Владимир, ул. Нижняя Дуброва, д.29 – 4 шт.
16. г. Владимир, ул. Добросельская, д.167 -  6 шт.
17. г. Владимир, ул. Суворова, д.4 – 4 шт.</t>
  </si>
  <si>
    <t>FKR30101700002</t>
  </si>
  <si>
    <t xml:space="preserve">Протокол проведения электронного аукциона 
 Реестровый номер: FKR30101700002 от 24 ноября 2017 года
 </t>
  </si>
  <si>
    <t>№279/2017  12.12.2017</t>
  </si>
  <si>
    <t xml:space="preserve">Выполнение работ по капитальному ремонту крыши  многоквартирного дома, расположенного по адресу:
Владимирская область, г. Муром, ул. Красногвардейская, д.10-а 
</t>
  </si>
  <si>
    <t>1 % (УСНО)</t>
  </si>
  <si>
    <t>01.01.2018-31.01.2018</t>
  </si>
  <si>
    <t>FKR30101700003</t>
  </si>
  <si>
    <t>протокол проведения аукциона FKR30101700003 от 24 ноября 2017 года</t>
  </si>
  <si>
    <t>№ 278/2017 от 
13.12.2017</t>
  </si>
  <si>
    <t>Выполнение работ по капитальному ремонту крыши многоквартирного дома, расположенного по адресу:
Владимирская область, г. Владимир, ул. Луначарского, д.29</t>
  </si>
  <si>
    <t>FKR08111700049</t>
  </si>
  <si>
    <t>протокол рассмотрения заявок FKR08111700049 от                 29 ноября 2017 года</t>
  </si>
  <si>
    <t>№ 281/2017 18.12.2017</t>
  </si>
  <si>
    <t xml:space="preserve">Выполнение работ по капитальному ремонту ВИС теплоснабжения в многоквартирном доме, расположенном по адресу:
Владимирская область, г. Киржач, Текстильщиков, 9
</t>
  </si>
  <si>
    <t>29.04.2018-29.05.2018.</t>
  </si>
  <si>
    <t>FKR08111700048</t>
  </si>
  <si>
    <t>протокол рассмотрения заявок FKR08111700048 от                 29 ноября 2017 года</t>
  </si>
  <si>
    <t>№ 282/2017 18.12.2017</t>
  </si>
  <si>
    <t xml:space="preserve">Выполнение работ по капитальному ремонту ВИС электроснабжения в многоквартирном доме, расположенном по адресу:
Владимирская область, г. Юрьев-Польский, Шибанкова, 42.
</t>
  </si>
  <si>
    <t>20.12.2017-29.12.2017</t>
  </si>
  <si>
    <t>FKR09111700015</t>
  </si>
  <si>
    <t xml:space="preserve">протокол рассмотрения заявок FKR09111700015 </t>
  </si>
  <si>
    <t>№ 284/2017 20.12.2017</t>
  </si>
  <si>
    <t xml:space="preserve">Выполнение работ по капитальному ремонту ВИС теплоснабжения в многоквартирном доме, расположенном по адресу:
Владимирская область, г. Юрьев-Польский, Свободы, 145.
</t>
  </si>
  <si>
    <t>15.04.2018-15.05.2018</t>
  </si>
  <si>
    <t>FKR09111700014</t>
  </si>
  <si>
    <t xml:space="preserve">протокол рассмотрения заявок FKR09111700014 </t>
  </si>
  <si>
    <t>№ 285/2017 20.12.2017</t>
  </si>
  <si>
    <t xml:space="preserve">Выполнение работ по капитальному ремонту ВИС теплоснабжения в многоквартирном доме, расположенном по адресу:
Владимирская область, г. Юрьев-Польский, Павших борцов, 13
</t>
  </si>
  <si>
    <t>15.04.2018-14.05.2018</t>
  </si>
  <si>
    <t>FKR02111700007</t>
  </si>
  <si>
    <t>протокол проведения аукциона FKR02111700007 от 30.11.2017</t>
  </si>
  <si>
    <t>№ 283/2017 19.12.2017</t>
  </si>
  <si>
    <t xml:space="preserve">Выполнение работ по капитальному ремонту крыш  в многоквартирных домах, расположенных по адресам:
- Владимирская область, Петушинский р-н, г. Костерево, 50 лет Октября, д.3
- Владимирская область, Петушинский р-н, г. Костерево, 50 лет Октября, д.13
</t>
  </si>
  <si>
    <t xml:space="preserve">5 436 293.29 </t>
  </si>
  <si>
    <t>10.50%</t>
  </si>
  <si>
    <t xml:space="preserve"> 40 лет Октября, 3 - 19.12.2017-05.02.2018.
 40 лет Октября, 13 - 19.12.2017-26.02.2018</t>
  </si>
  <si>
    <t>ООО "Срецстройгарант-1"</t>
  </si>
  <si>
    <t>Собинка, Молодежная, 2-а</t>
  </si>
  <si>
    <t>Протокол  рассмотрения зявок на участие в электронном аукционе  реестровый номер FKR 15111700005 от 06 декабря 2017 года</t>
  </si>
  <si>
    <t>290/2017 от 
21.12.2017</t>
  </si>
  <si>
    <t>Выполнение работ по капитальному ремонту фасада многоквартирного дом, расположенного по адресу:
- Владимирская область, Александровский р-н, г. Карабаново, ул. Садовая, д.5</t>
  </si>
  <si>
    <t>20.05.2018-20.07.2018</t>
  </si>
  <si>
    <t>Протокол проведения электронного аукциона FKR 09111700013 от 04 декабря 2017 года</t>
  </si>
  <si>
    <t>286/2017 от 22.12.2017</t>
  </si>
  <si>
    <t>Выполнение работ по капитальному ремонту крыши в многоквартирном доме, расположенном по адресу: Владимирская область, г. Владимир, ул. Фейгина, 13-а</t>
  </si>
  <si>
    <t>22.12.2017-31.01.2018</t>
  </si>
  <si>
    <t>Протокол  рассмотрения зявок на участие в электронном аукционе  реестровый номер FKR5111700004 от 11 декабря 2017 года</t>
  </si>
  <si>
    <t>295/2017 от 22.12.2017</t>
  </si>
  <si>
    <t>Выполнение работ по капитальному ремонту крыши в многоквартирном доме, расположенном по адресу: Владимирская область,Вязниковский р-н, пос. Никологоры, пер. Красноармейский, д.7</t>
  </si>
  <si>
    <t>15.04.2018-21.05.2018</t>
  </si>
  <si>
    <t>№141/2017 18.05.2017</t>
  </si>
  <si>
    <t>FKR14111700009</t>
  </si>
  <si>
    <t>протокол рассмотрения заявок FKR14111700009</t>
  </si>
  <si>
    <t>№ 287/2017 25.12.2017</t>
  </si>
  <si>
    <t xml:space="preserve">Выполнение работ по капитальному ремонту ВИС электроснабжения в многоквартирных домах, расположенном по адресу:
- Владимирская область, Владимир, Пичугина, 1/2,
- Владимирская область, Владимир, Пичугина, 3
</t>
  </si>
  <si>
    <t>Пичугина, 1/2 - 08.01.2018-12.01.2018
Пичугина, 3 - 15.01.2018-20.01.2018</t>
  </si>
  <si>
    <t>FKR14111700005</t>
  </si>
  <si>
    <t>протокол рассмотрения заявок FKR14111700005</t>
  </si>
  <si>
    <t>№ 288/2017 25.12.2017</t>
  </si>
  <si>
    <t xml:space="preserve">Выполнение работ по капитальному ремонту ВИС электроснабжения в многоквартирных домах, расположенном по адресу:
 Владимирская область, Владимир, Народная, 1-а
</t>
  </si>
  <si>
    <t>22.01.2018-27.01.2018</t>
  </si>
  <si>
    <t>FKR09111700012</t>
  </si>
  <si>
    <t>Протокол  рассмотрения зявок на участие в электронном аукционе FKR09111700012 от 06.12.2017</t>
  </si>
  <si>
    <t>№ 291/2017 20.12.2017</t>
  </si>
  <si>
    <t xml:space="preserve">Выполнение работ по капитальному ремонту ВИС теплоснабжения, водоотведения, электроснабжения в многоквартирном доме, расположенном по адресу:
 Владимирская область, Александровский р-н, г. Струнино, кв-л Дубки, д.11
</t>
  </si>
  <si>
    <t>10.01.2018-30.06.2018</t>
  </si>
  <si>
    <t>ООО "ГЕАС"</t>
  </si>
  <si>
    <t>Александров, Первомайская, 3</t>
  </si>
  <si>
    <t>FKR14111700007</t>
  </si>
  <si>
    <t>Протокол  рассмотрения зявок на участие в электронном аукционе  FKR 14111700007 от 11 декабря 2017 года</t>
  </si>
  <si>
    <t>294/2017 от 25.12.2017</t>
  </si>
  <si>
    <t xml:space="preserve">Выполнение работ по капитальному ремонту общего имущества в многоквартирном доме, расположенном по адресу:
- Владимирская область,  г. Ковров, ул. Туманова, д.20  – капитальный ремонт внутридомовых инженерных систем холодного водоснабжения, теплоснабжения,  электроснабжения;
 - Владимирская область,  г. Ковров, ул. Сосновая, д.28   – капитальный ремонт внутридомовых инженерных систем теплоснабжения,  водоотведения. </t>
  </si>
  <si>
    <t xml:space="preserve">Сосновая,28- 21.05.2018-27.06.2018,
Туманова, 20- 21.05.2018-27.06.2018 </t>
  </si>
  <si>
    <t>FKR14111700006</t>
  </si>
  <si>
    <t>Протокол  рассмотрения зявок на участие в электронном аукционе  FKR 14111700006 от 06 декабря 2017 года</t>
  </si>
  <si>
    <t>289/2017 от 25.12.2017</t>
  </si>
  <si>
    <t xml:space="preserve">Выполнение работ по капитальному ремонту общего имущества в многоквартирном доме, расположенном по адресу:
- Владимирская область,  г. Ковров, ул. МОПРа, д.29  – капитальный ремонт внутридомовых инженерных систем холодного водоснабжения, теплоснабжения,  электроснабжения;
- Владимирская область,  г. Ковров, ул. МОПРа, д.35   – капитальный ремонт внутридомовых инженерных систем холодного водоснабжения, теплоснабжения,  электроснабжения. </t>
  </si>
  <si>
    <t>18.06.2018-30.07.2018</t>
  </si>
  <si>
    <t>FKR20111700040</t>
  </si>
  <si>
    <t>Протокол  рассмотрения зявок на участие в электронном аукционе  FKR 20111700040 от 11 декабря 2017 года</t>
  </si>
  <si>
    <t>292/2017 от 25.12.2017</t>
  </si>
  <si>
    <t xml:space="preserve">Выполнение работ по капитальному ремонту общего имущества в многоквартирном доме, расположенном по адресу:
- Владимирская область,  г. Ковров, ул. Туманова, д. 4 – капитальный ремонт внутридомовых инженерных систем холодного водоснабжения, теплоснабжения, электроснабжения; 
- Владимирская область,  г. Ковров, ул. Фрунзе, д. 13 – капитальный ремонт внутридомовых инженерных систем теплоснабжения, электроснабжения. </t>
  </si>
  <si>
    <t>Туманова,4-03.07.2018-03.08.2017,
Фрунзе, 13 - 03.07.2018-27.07.2018</t>
  </si>
  <si>
    <t>FKR14111700008</t>
  </si>
  <si>
    <t>Протокол  рассмотрения зявок на участие в электронном аукционе  FKR 14111700008 от 11 декабря 2017 года</t>
  </si>
  <si>
    <t>293/2017 от 25.12.2017</t>
  </si>
  <si>
    <t xml:space="preserve">Выполнение работ по капитальному ремонту общего имущества в многоквартирном доме, расположенном по адресу:
- Владимирская область,  г. Ковров, ул. Туманова, д.14  – капитальный ремонт внутридомовых инженерных систем холодного водоснабжения, теплоснабжения,  электроснабжения;
 - Владимирская область,  г. Ковров, ул. Генералова, д.90   – капитальный ремонт внутридомовых инженерных систем водоотведения. </t>
  </si>
  <si>
    <t>25.06.2018-29.06.2018</t>
  </si>
  <si>
    <t>FKR20111700039</t>
  </si>
  <si>
    <t>Протокол  проведения аукциона FKR20111700039 от 15.12.2017</t>
  </si>
  <si>
    <t>№ 300/2017 26.12.2017</t>
  </si>
  <si>
    <t xml:space="preserve">Выполнение работ по капитальному ремонту общего имущества в многоквартирном доме, расположенном по адресу:
Владимирская область, Александровский район, д. Лисавы, ул. Центральная, д.2 - капитальный ремонт крыши. 
</t>
  </si>
  <si>
    <t>15.01.2018-15.03.2018</t>
  </si>
  <si>
    <t>FKR17111700003</t>
  </si>
  <si>
    <t>протокол проведения аукциона в электронной форме реестровый номер FKR17111700003 от 14.12. 2017 года</t>
  </si>
  <si>
    <t>№296/2017 от 27.12.2017</t>
  </si>
  <si>
    <t>Выполнение работ по капитальному ремонту крыши в многоквартирном доме, расположенном по адресу: Владимирская область,Ковровский р-н, с. Клязьменский городок, ул. Клязьменский ПМК, д.6</t>
  </si>
  <si>
    <t>15.01.2018-07.02.2018</t>
  </si>
  <si>
    <t>доп. согл. По УСН 1917232,73</t>
  </si>
  <si>
    <t>FKR20091700017</t>
  </si>
  <si>
    <t>протокол проведения аукциона в электронной форме реестровый номер FKR20091700017 от 16.10. 2017 года</t>
  </si>
  <si>
    <t>№ 304/2017 от 09.01.2018</t>
  </si>
  <si>
    <t>FKR21111700012</t>
  </si>
  <si>
    <t xml:space="preserve">Протокол  рассмотрения зявок на участие в процедуре 
 Реестровый номер: FKR21111700012 от 13.12. 2017 года
 </t>
  </si>
  <si>
    <t>№ 298/2017 от 29.12.2017</t>
  </si>
  <si>
    <t>Выполнение работ по капитальному ремонту крыши многоквартирного дома, расположенного по адресу:
Владимирская область  Александров, пер. Вокзальный, д.5</t>
  </si>
  <si>
    <t>01.04.2018-02.05.2018</t>
  </si>
  <si>
    <t>FKR23111700004</t>
  </si>
  <si>
    <t xml:space="preserve">Протокол  рассмотрения зявок на участие в процедуре 
 Реестровый номер: FKR23111700004 от 15.12. 2017 года
 </t>
  </si>
  <si>
    <t>№302/2017 от 29.12.2017</t>
  </si>
  <si>
    <t>Выполнение работ по капитальному ремонту крыши многоквартирного дома, расположенного по адресу:
Владимирская область  Владимир, Луначарского, 18</t>
  </si>
  <si>
    <t>20.01.2018-19.02.2018</t>
  </si>
  <si>
    <t>FKR22111700009</t>
  </si>
  <si>
    <t xml:space="preserve">Протокол  рассмотрения зявок на участие в процедуре 
 Реестровый номер: FKR22111700009 от 13.12. 2017 года
 </t>
  </si>
  <si>
    <t>№299/2017 от 29.12.2017</t>
  </si>
  <si>
    <t>Выполнение работ по капитальному ремонту фасада многоквартирного дома, расположенного по адресу:
Владимирская область  Александровский р-н, Карабаново, Мира, 22</t>
  </si>
  <si>
    <t>01.04.2018-14.07.2018</t>
  </si>
  <si>
    <t>FKR21111700006</t>
  </si>
  <si>
    <t xml:space="preserve">Протокол  рассмотрения зявок на участие в процедуре 
 Реестровый номер: FKR21111700006 от 13.12. 2017 года
 </t>
  </si>
  <si>
    <t>№297/2017 от 29.12.2017</t>
  </si>
  <si>
    <t>Выполнение работ по капитальному ремонту фасада многоквартирного дома, расположенного по адресу:
Владимирская область,  г. Киржач, мкр. Красный Октябрь, ул. Октябрьская, д.15</t>
  </si>
  <si>
    <t>01.04.2018-07.06.2018</t>
  </si>
  <si>
    <t>FKR20111700041</t>
  </si>
  <si>
    <t xml:space="preserve">Протокол  рассмотрения зявок на участие в процедуре 
 Реестровый номер: FKR20111700041 от 15.12. 2017 года
 </t>
  </si>
  <si>
    <t>№301/2017 от 29.12.2017</t>
  </si>
  <si>
    <t>Выполнение работ по капитальному ремонту ВИС теплоснабжения, электроснабжения многоквартирного дома, расположенного по адресу:
Владимирская область,  г. Ковров, пр-т Ленина, д. 27</t>
  </si>
  <si>
    <t>23.04.2018-26.06.2018</t>
  </si>
  <si>
    <t>FKR23111700005</t>
  </si>
  <si>
    <t xml:space="preserve">Протокол  рассмотрения зявок на участие в процедуре 
 Реестровый номер: FKR23111700005 от 15.12. 2017 года
 </t>
  </si>
  <si>
    <t>Выполнение работ по капитальному ремонту крыши  многоквартирного дома, расположенного по адресу:
Владимирская область, г. Гусь-Хрустальный, пр-т Теплицкий, д.17</t>
  </si>
  <si>
    <t>1 258 688,82</t>
  </si>
  <si>
    <t>31.03.2018-30.04.2018</t>
  </si>
  <si>
    <t>FKR20091700016</t>
  </si>
  <si>
    <t>протокол проведения аукциона в электронной форме реестровый номер FKR20091700016 от 16.10. 2017 года</t>
  </si>
  <si>
    <t>№ 305/2017 от 09.01.2018</t>
  </si>
  <si>
    <t>№303/2017 от 29.12.2017</t>
  </si>
  <si>
    <t>FKR04121700002</t>
  </si>
  <si>
    <t xml:space="preserve">Протокол  рассмотрения зявок на участие в процедуре 
 Реестровый номер: FKR04121700002 от 25.12. 2017 года
 </t>
  </si>
  <si>
    <t xml:space="preserve">Выполнение работ по капитальному ремонту ВИС ХВС многоквартирного дома, расположенного по адресу:
Владимирская область, Александровский район, с. Большое Каринское, ул. Новая, д.4 </t>
  </si>
  <si>
    <t>16.01.2018-27.01.2018</t>
  </si>
  <si>
    <t>FKR14121700019</t>
  </si>
  <si>
    <t xml:space="preserve">Протокол  рассмотрения зявок на участие в процедуре 
 Реестровый номер: FKR14121700019 от 09.01.2018 г.
 </t>
  </si>
  <si>
    <t>№ 5/2018 от 23.01.2018</t>
  </si>
  <si>
    <t>Выполнение работ по оценке тех.состояния МКД, разработке ПСД на ремонт лифтового оборудования 26 МКД.</t>
  </si>
  <si>
    <t>FKR19121700030</t>
  </si>
  <si>
    <t xml:space="preserve">Протокол  рассмотрения зявок на участие в процедуре 
 Реестровый номер: FKR19121700030 от 09.01.2018 г.
 </t>
  </si>
  <si>
    <t>№ 9/2018 от 26.01.2018</t>
  </si>
  <si>
    <t>Выполнение работ по оценке тех.состояния МКД, разработке ПСД на ремонт крыш 24 МКД.</t>
  </si>
  <si>
    <t>в течение 90 календарных дней</t>
  </si>
  <si>
    <t>FKR19121700029</t>
  </si>
  <si>
    <t xml:space="preserve">Протокол  рассмотрения зявок на участие в процедуре 
 Реестровый номер: FKR19121700029 от 09.01.2018 г.
 </t>
  </si>
  <si>
    <t>№ 8/2018 от 26.01.2018</t>
  </si>
  <si>
    <t>Выполнение работ по оценке тех.состояния МКД, разработке ПСД на ремонт крыш 10 МКД.</t>
  </si>
  <si>
    <t>FKR15121700011</t>
  </si>
  <si>
    <t xml:space="preserve">Протокол  рассмотрения зявок на участие в процедуре 
 Реестровый номер: FKR15121700011 от 09.01.2018 г.
 </t>
  </si>
  <si>
    <t>№ 6/2018 от 26.01.2018</t>
  </si>
  <si>
    <t>Выполнение работ по оценке тех.состояния МКД, разработке ПСД на ремонт крыш 20 МКД.</t>
  </si>
  <si>
    <t>FKR15121700012</t>
  </si>
  <si>
    <t xml:space="preserve">Протокол  рассмотрения зявок на участие в процедуре 
 Реестровый номер: FKR15121700012 от 09.01.2018 г.
 </t>
  </si>
  <si>
    <t>№ 11/2018 от 26.01.2018</t>
  </si>
  <si>
    <t>Выполнение работ по оценке тех.состояния МКД, разработке ПСД на ремонт крыш 17 МКД.</t>
  </si>
  <si>
    <t>FKR15121700013</t>
  </si>
  <si>
    <t xml:space="preserve">Протокол  рассмотрения зявок на участие в процедуре 
 Реестровый номер: FKR15121700013 от 09.01.2018 г.
 </t>
  </si>
  <si>
    <t>№ 7/2018 от 26.01.2018</t>
  </si>
  <si>
    <t>Выполнение работ по оценке тех.состояния МКД, разработке ПСД на ремонт крыш 13 МКД.</t>
  </si>
  <si>
    <t>в течение 85 календарных дней</t>
  </si>
  <si>
    <t>FKR18121700012</t>
  </si>
  <si>
    <t xml:space="preserve">Протокол  рассмотрения зявок на участие в процедуре 
 Реестровый номер: FKR18121700012 от 09.01.2018 г.
 </t>
  </si>
  <si>
    <t>№ 311/2017 от 26.01.2018</t>
  </si>
  <si>
    <t>Выполнение работ по оценке тех.состояния МКД, разработке ПСД на ремонт крыш 2 МКД.</t>
  </si>
  <si>
    <t>FKR19121700047</t>
  </si>
  <si>
    <t xml:space="preserve">Протокол  рассмотрения зявок на участие в процедуре 
 Реестровый номер: FKR19121700047 от 09.01.2018 г.
 </t>
  </si>
  <si>
    <t>№ 12/2018 от 26.01.2018</t>
  </si>
  <si>
    <t>FKR25121700025</t>
  </si>
  <si>
    <t xml:space="preserve">Протокол  рассмотрения зявок на участие в процедуре 
 Реестровый номер: FKR25121700025 от 09.01.2018 г.
 </t>
  </si>
  <si>
    <t>№ 16/2018 от 26.01.2018</t>
  </si>
  <si>
    <t>Выполнение работ по оценке тех.состояния МКД, разработке ПСД на ремонт крыш 12 МКД.</t>
  </si>
  <si>
    <t>в течение 75 календарных дней</t>
  </si>
  <si>
    <t>FKR11121700013</t>
  </si>
  <si>
    <t xml:space="preserve">Протокол  рассмотрения зявок на участие в процедуре 
 Реестровый номер: FKR11121700013 от 09.01.2018 г.
 </t>
  </si>
  <si>
    <t>№ 313-2017 от 31.01.2018</t>
  </si>
  <si>
    <t>Выполнение работ по капитальному ремонту крыши многоквартирного дома, расположенного по адресу:
Владимирская область,  г. Суздаль, ул. Лоунская, д.2</t>
  </si>
  <si>
    <t>FKR11121700014</t>
  </si>
  <si>
    <t xml:space="preserve">Протокол  рассмотрения зявок на участие в процедуре 
 Реестровый номер: FKR11121700014 от 09.01.2018 г.
 </t>
  </si>
  <si>
    <t>№ 310/2017 от 26.01.2018</t>
  </si>
  <si>
    <t xml:space="preserve">Владимирская область,  Александровский район, г. Струнино, кв-л Дубки, д.17 – капитальный ремонт внутридомовых инженерных систем теплоснабжения, электроснабжения.  </t>
  </si>
  <si>
    <t>Общество с ограниченной ответственностью «Атлека»</t>
  </si>
  <si>
    <t>г.Вологда ул.Южакова, д.2, кв.144</t>
  </si>
  <si>
    <t>FKR18121700011</t>
  </si>
  <si>
    <t xml:space="preserve">Протокол  рассмотрения зявок на участие в процедуре 
 Реестровый номер: FKR18121700011 от 09.01.2018 г.
 </t>
  </si>
  <si>
    <t>№ 308/2017 от 26.01.2018</t>
  </si>
  <si>
    <t xml:space="preserve">Владимирская область, г. Александров, ул. Институтская, д.15 - капитальный ремонт крыши. </t>
  </si>
  <si>
    <t>FKR18121700010</t>
  </si>
  <si>
    <t xml:space="preserve">Протокол  рассмотрения зявок на участие в процедуре 
 Реестровый номер: FKR18121700010 от 09.01.2018 г.
 </t>
  </si>
  <si>
    <t>№ 309/2017 от 26.01.2018</t>
  </si>
  <si>
    <t xml:space="preserve">Владимирская область, г. Александров, ул. Терешковой, д.2 - капитальный ремонт крыши. </t>
  </si>
  <si>
    <t>FKR18121700007</t>
  </si>
  <si>
    <t xml:space="preserve">Протокол  рассмотрения зявок на участие в процедуре 
 Реестровый номер: FKR18121700007 от 09.01.2018 г.
 </t>
  </si>
  <si>
    <t>№ 307/2017 от 26.01.2018</t>
  </si>
  <si>
    <t xml:space="preserve">Владимирская область, г. Владимир, ул. Дворянская, д.13 - капитальный ремонт крыши.  </t>
  </si>
  <si>
    <t>№306/2017 от 12.01.2018</t>
  </si>
  <si>
    <t>FKR25121700027</t>
  </si>
  <si>
    <t xml:space="preserve">Протокол  рассмотрения зявок на участие в процедуре 
 Реестровый номер: FKR25121700027 от 15.01.2018 г.
 </t>
  </si>
  <si>
    <t>№ 18/2018 от 02.02.2018</t>
  </si>
  <si>
    <t>Выполнение работ по оценке тех.состояния МКД, разработке ПСД на ремонт крыш 11 МКД.</t>
  </si>
  <si>
    <t>FKR27121700026</t>
  </si>
  <si>
    <t xml:space="preserve">Протокол  рассмотрения зявок на участие в процедуре 
 Реестровый номер: FKR27121700026 от 18.01.2018 г.
 </t>
  </si>
  <si>
    <t>№ 2/2018 от 06.02.2018</t>
  </si>
  <si>
    <t>FKR18121700008</t>
  </si>
  <si>
    <t xml:space="preserve">Протокол  рассмотрения зявок на участие в процедуре 
 Реестровый номер: FKR18121700008 от 09.01.2018 г.
 </t>
  </si>
  <si>
    <t>№ 312/2017 от 30.01.2018</t>
  </si>
  <si>
    <t xml:space="preserve">Владимирская область, Петушинский район, д. Панфилово, ул.Центральная, д.3 - капитальный ремонт крыши. Владимирская область, Петушинский район, п.Вольгинский, ул.Новосеменковская, д.5 - капитальный ремонт крыши. </t>
  </si>
  <si>
    <t>FKR28121700017</t>
  </si>
  <si>
    <t xml:space="preserve">Протокол  рассмотрения зявок на участие в процедуре 
 Реестровый номер: FKR28121700017 от 18.01.2018 г.
 </t>
  </si>
  <si>
    <t>№ 1/2018 от 06.02.2018</t>
  </si>
  <si>
    <t>Выполнение работ по оценке тех.состояния МКД, разработке ПСД на ремонт лифтового оборудования 1 МКД.</t>
  </si>
  <si>
    <t>FKR11121700010</t>
  </si>
  <si>
    <t xml:space="preserve">Протокол  рассмотрения зявок на участие в процедуре 
 Реестровый номер: FKR11121700010 от 09.01.2018 г.
 </t>
  </si>
  <si>
    <t>№ 314/2017 от 31.01.2018</t>
  </si>
  <si>
    <t>Владимирская область,  Гороховецкий район, п. Пролетарский, ул. Новофабричная, д.24 – капитальный ремонт внутридомовых инженерных систем теплоснабжения,Владимирская область,  Гороховецкий район, с. Фоминки, ул. Совхозная, д.9 – капитальный ремонт внутридомовых инженерных систем электроснабжения, Владимирская область,  Гороховецкий район, с. Фоминки, ул. Чекунова, д.2 - капитальный ремонт внутридомовых инженерных систем водоотведения, электроснабжения.</t>
  </si>
  <si>
    <t xml:space="preserve">ООО "ВИК"
</t>
  </si>
  <si>
    <t>г. Владимир, ул. Никитская, д.17</t>
  </si>
  <si>
    <t>FKR27121700014</t>
  </si>
  <si>
    <t xml:space="preserve">Протокол  рассмотрения зявок на участие в процедуре 
 Реестровый номер: FKR27121700014 от 09.01.2018 г.
 </t>
  </si>
  <si>
    <t>№ 317/2017 от 18.01.2018</t>
  </si>
  <si>
    <t>Владимирская область,  Суздальский район, п. Сокол, д.6. – капитальный ремонт фасада</t>
  </si>
  <si>
    <t>FKR21121700004</t>
  </si>
  <si>
    <t>Протокол  рассмотрения зявок на участие в электронном аукционе  реестровый номер FKR21121700004  от 15 января 2018 года</t>
  </si>
  <si>
    <t>Владимирская область,  г. Владимир, пр-т Ленина, д. 9 - капитальный ремонт крыши.</t>
  </si>
  <si>
    <t>доп. согл. По УСН 645441,23</t>
  </si>
  <si>
    <t>доп. согл. По УСН 866487,53</t>
  </si>
  <si>
    <t>доп. согл. По УСН 1839548,47</t>
  </si>
  <si>
    <t>доп. согл. По УСН 1717786,31</t>
  </si>
  <si>
    <t>доп. согл. По УСН 1239414,66</t>
  </si>
  <si>
    <t>доп. согл. По УСН 672630,64</t>
  </si>
  <si>
    <t>доп. согл. По УСН 647484,61</t>
  </si>
  <si>
    <t>доп. согл. По УСН 4236632,8</t>
  </si>
  <si>
    <t>доп. согл. По УСН 1160452,77</t>
  </si>
  <si>
    <t>доп. согл. По УСН 3387828,7</t>
  </si>
  <si>
    <t>№315/2017 02.02.2018</t>
  </si>
  <si>
    <t>доп. согл. По УСН 4398657,33</t>
  </si>
  <si>
    <t>FKR27121700028</t>
  </si>
  <si>
    <t>Протокол  рассмотрения зявок на участие в электронном аукционе  реестровый номер FKR27121700028  от 18 января 2018 года</t>
  </si>
  <si>
    <t>№316/2017 06.02.2018</t>
  </si>
  <si>
    <t xml:space="preserve">Владимирская область,  г. Суздаль, ул. Лоунская, д.6 – капитальный ремонт внутридомовых инженерных систем теплоснабжения, водоотведения, холодного водоснабжения, горячего водоснабжения. 
</t>
  </si>
  <si>
    <t>доп. согл. По УСН 1051818,49</t>
  </si>
  <si>
    <t>FKR271200025</t>
  </si>
  <si>
    <t xml:space="preserve">Протокол проведения электронного аукциона 
 Реестровый номер: FKR271200025 от 18 яеваря 2018 года
 </t>
  </si>
  <si>
    <t>№3/2018 06.02.2018</t>
  </si>
  <si>
    <t>доп. согл. По УСН 790737,70</t>
  </si>
  <si>
    <t>FKR27121700030</t>
  </si>
  <si>
    <t>Протокол  рассмотрения зявок на участие в электронном аукционе  реестровый номер FKR27121700030  от 18 января 2018 года</t>
  </si>
  <si>
    <t>№318/2017 06.02.2018</t>
  </si>
  <si>
    <t xml:space="preserve">Владимирская область,  г. Суздаль, ул. Пожарского, д.4 – капитальный ремонт крыши. 
</t>
  </si>
  <si>
    <t>доп. согл. По УСН 649703,36</t>
  </si>
  <si>
    <t>FKR28121700019</t>
  </si>
  <si>
    <t xml:space="preserve">Протокол  рассмотрения зявок на участие в процедуре 
 Реестровый номер: FKR28121700019 от 28.01.2018 г.
 </t>
  </si>
  <si>
    <t>№ 4/2018 от 09.02.2018</t>
  </si>
  <si>
    <t>доп. согл. По УСН 792394,91</t>
  </si>
  <si>
    <t>FKR29121700055</t>
  </si>
  <si>
    <t xml:space="preserve">Протокол  рассмотрения зявок на участие в процедуре 
 Реестровый номер: FKR29121700055 от 25.01.2018 г.
 </t>
  </si>
  <si>
    <t>№ 10/2018 от 09.02.2018</t>
  </si>
  <si>
    <t>Выполнение работ по оценке тех.состояния МКД, разработке ПСД на ремонт крыш 19 МКД.</t>
  </si>
  <si>
    <t>доп. согл. По УСН 1528393,69</t>
  </si>
  <si>
    <t>доп. согл. По УСН 1089671,45</t>
  </si>
  <si>
    <t>доп. согл. По УСН 520261,62</t>
  </si>
  <si>
    <t>доп. согл. По УСН 1031142,43</t>
  </si>
  <si>
    <t>доп. согл. По УСН 876994,71</t>
  </si>
  <si>
    <t>доп. согл. По УСН 550882,72</t>
  </si>
  <si>
    <t>доп. согл. По УСН 102396,3</t>
  </si>
  <si>
    <t>Выполнение работ по оценке тех.состояния МКД, разработке ПСД на ремонт крыш 15 МКД.</t>
  </si>
  <si>
    <t>доп. согл. По УСН 952401,13</t>
  </si>
  <si>
    <t>FKR10011800004</t>
  </si>
  <si>
    <t xml:space="preserve">Протокол  рассмотрения зявок на участие в процедуре 
 Реестровый номер: FKR10011800004 от 31.01.2018 г.
 </t>
  </si>
  <si>
    <t>№ 319/2017 от 12.02.2018</t>
  </si>
  <si>
    <t>Владимирская область,  г. Суздаль, ул. Красная площадь, д.30 - капитальный ремонт крыши.</t>
  </si>
  <si>
    <t>доп. согл. По УСН 1094890,64</t>
  </si>
  <si>
    <t>FKR29121700056</t>
  </si>
  <si>
    <t xml:space="preserve">Протокол  рассмотрения зявок на участие в процедуре 
 Реестровый номер: FKR29121700056 от 22.01.2018 г.
 </t>
  </si>
  <si>
    <t>№ 13/2018 от 13.02.2018</t>
  </si>
  <si>
    <t>ООО "Проект"</t>
  </si>
  <si>
    <t>150054, г. Ярославль, ул.Тургенева, д.17, оф.202,203</t>
  </si>
  <si>
    <t>доп. согл. По УСН 781252,68</t>
  </si>
  <si>
    <t>FKR28111700022</t>
  </si>
  <si>
    <t>протокол проведения аукциона FKR28111700022 от 20 декабря 2017 года</t>
  </si>
  <si>
    <t>№ 320/2017 от 19.02.2018</t>
  </si>
  <si>
    <t xml:space="preserve">право заключения договора на выполнение работ по замене лифтового оборудования в многоквартирных домах, расположенных по следующим адресам:
- Владимирская область, г. Александров, ул. Калининская, д.52 – 2 шт.,
- Владимирская область, г. Владимир, Суздальский проспект, д.20 – 4 шт.,
- Владимирская область, г. Владимир, ул. Растопчина, д.59 – 2 шт.,
- Владимирская область, г. Владимир, ул. Юбилейная, д.56 – 3 шт. </t>
  </si>
  <si>
    <t>19.02.2018 - 31.05.2018</t>
  </si>
  <si>
    <t>FKR10011800003</t>
  </si>
  <si>
    <t xml:space="preserve">Протокол проведения электронного аукциона 
 Реестровый номер: FKR10011800003 от 31 января 2018 года
 </t>
  </si>
  <si>
    <t>№321/2017 19.02.2018</t>
  </si>
  <si>
    <t>право заключения договора на выполнение работ по капитальному ремонту общего имущества в многоквартирном доме, расположенном по адресу:
- Владимирская область,  Вязниковский район, д. Паустово, ул. Текстильщиков, д.14 - капитальный ремонт крыши,
- Владимирская область,  Вязниковский район, д. Сергеево, ул. Ткацкая, д.12 - капитальный ремонт крыши,
- Владимирская область,  Вязниковский район, д. Октябрьская, ул. Молодежная, д.5 - капитальный ремонт крыши</t>
  </si>
  <si>
    <t>доп. согл. По УСН 3010433,72</t>
  </si>
  <si>
    <t>FKR10011800002</t>
  </si>
  <si>
    <t>Протокол  рассмотрения зявок на участие в электронном аукционе  реестровый номер FKR10011800002  от 18 января 2018 года</t>
  </si>
  <si>
    <t xml:space="preserve">выполнение работ по капитальному ремонту общего имущества в многоквартирном доме, расположенном по адресу:
Владимирская область, Собинский район, п. Ставрово, ул. Октябрьская, д.142 - капитальный ремонт внутридомовых инженерных систем теплоснабжения.
</t>
  </si>
  <si>
    <t>доп. согл. По УСН 1169953,26</t>
  </si>
  <si>
    <t>FKR09011800005</t>
  </si>
  <si>
    <t>протокол проведения аукциона в электронной форме реестровый номер FKR09011800005 от 31 января 2018 года</t>
  </si>
  <si>
    <t>Выполнение работ по разработке проектно-сметной документации на капитальный ремонт фасада многоквартирных домов. 15 МКД</t>
  </si>
  <si>
    <t>доп. согл. По УСН 592695,67</t>
  </si>
  <si>
    <t>FKR09011800009</t>
  </si>
  <si>
    <t>протокол проведения аукциона в электронной форме реестровый номер FKR09011800009 от 31 января 2018 года</t>
  </si>
  <si>
    <t>№17/2018 19.02.2018</t>
  </si>
  <si>
    <t>Выполнение работ по разработке проектно-сметной документации на капитальный ремонт фасада многоквартирных домов. 14 МКД</t>
  </si>
  <si>
    <t>доп. согл. По УСН 574411,81</t>
  </si>
  <si>
    <t>FKR09011800010</t>
  </si>
  <si>
    <t xml:space="preserve">Протокол проведения электронного аукциона  
 Реестровый номер: FKR09011800010 от 05.02.2018 года
 </t>
  </si>
  <si>
    <t>№ 19/2018 от 20.02.2018</t>
  </si>
  <si>
    <t>выполнение работ по капитальному ремонту общего имущества в многоквартирном доме, расположенном по адресу:
Владимирская область, г. Гусь-Хрустальный, ул. Транспортная, д.29- капитальный ремонт внутридомовых инженерных систем теплоснабжения.</t>
  </si>
  <si>
    <t>доп. согл. По УСН 3000000</t>
  </si>
  <si>
    <t>№15/2018 19.02.2018</t>
  </si>
  <si>
    <t>FKR15011800015</t>
  </si>
  <si>
    <t xml:space="preserve">Протокол  рассмотрения зявок на участие в процедуре 
 Реестровый номер: FKR15011800015 от 06.02.2018 г.
 </t>
  </si>
  <si>
    <t>№ 20/2018 от 22.02.2018</t>
  </si>
  <si>
    <t xml:space="preserve">МУП округа Муром ПИ
"Муромпроект" </t>
  </si>
  <si>
    <t xml:space="preserve">7 602256, Владимирская обл., г.
Муром, Владимирская ул, 10а
</t>
  </si>
  <si>
    <t>доп. согл. По УСН 1357384,98</t>
  </si>
  <si>
    <t>FKR24011800015</t>
  </si>
  <si>
    <t xml:space="preserve">Протокол проведения электронного аукциона 
 Реестровый номер: FKR24011800015 от 14 февраля 2018 года
 </t>
  </si>
  <si>
    <t>№322/2017 05.03.2018</t>
  </si>
  <si>
    <t xml:space="preserve">Владимирская область,  Ковровский район, п. Малыгино, ул. Школьная, д,60  – капитальный ремонт внутридомовых инженерных систем холодного водоснабжения, водоотведения, теплоснабжения, электроснабжения. 
</t>
  </si>
  <si>
    <t>FKR24011800013</t>
  </si>
  <si>
    <t xml:space="preserve">Протокол проведения электронного аукциона 
 Реестровый номер: FKR24011800013 от 14 февраля 2018 года
 </t>
  </si>
  <si>
    <t>№323/2017 05.03.2018</t>
  </si>
  <si>
    <t xml:space="preserve">Владимирская область, г. Муром, п. Механизаторов, д.53 - капитальный ремонт внутридомовых инженерных систем холодного водоснабжения, теплоснабжения, электроснабжения
</t>
  </si>
  <si>
    <t xml:space="preserve">ООО
"АртСтройМонтаж" </t>
  </si>
  <si>
    <t xml:space="preserve">600033, Владимирская область,
г.Владимир, Офицерская ул, 33 Д::
помещение 410
</t>
  </si>
  <si>
    <t xml:space="preserve">3329058514
</t>
  </si>
  <si>
    <t>FKR25011800008</t>
  </si>
  <si>
    <t xml:space="preserve">Протокол проведения электронного аукциона 
 Реестровый номер: FKR25011800008 от 16 февраля 2018 года
 </t>
  </si>
  <si>
    <t>№324/2017 05.03.2018</t>
  </si>
  <si>
    <t>Владимирская область, г. Муром, ул. Ковровская, д.3 - капитальный ремонт внутридомовых инженерных систем теплоснабжения, электроснабжения.</t>
  </si>
  <si>
    <t>FKR24011800012</t>
  </si>
  <si>
    <t xml:space="preserve">Протокол проведения электронного аукциона 
 Реестровый номер: FKR24011800012 от 14 февраля 2018 года
 </t>
  </si>
  <si>
    <t>№326/2017 05.03.2018</t>
  </si>
  <si>
    <t xml:space="preserve">Владимирская область, Ковровский район, п. Мелехово, ул. Пионерская, д.3 - капитальный ремонт крыши.
</t>
  </si>
  <si>
    <t>FKR25011800007</t>
  </si>
  <si>
    <t>Протокол  рассмотрения зявок на участие в электронном аукционе  реестровый номер FKR25011800007  от 16 февраля 2018 года</t>
  </si>
  <si>
    <t>№325/2017 06.03.2018</t>
  </si>
  <si>
    <t>Владимирская область, г. Владимир, ул. Молодежная, д.5  - капитальный ремонт крыши.</t>
  </si>
  <si>
    <t>доп. согл. По УСН               3428034,36</t>
  </si>
  <si>
    <t>FKR13021800012</t>
  </si>
  <si>
    <t xml:space="preserve">Протокол проведения электронного аукциона 
 Реестровый номер: FKR13021800012 от 07 марта 2018 года
 </t>
  </si>
  <si>
    <t>№327/2017 26.03.2018</t>
  </si>
  <si>
    <t>Право заключения договора на выполнение работ по капитальному ремонту общего имущества в многоквартирных домах, расположенных по следующим адресам:
- Владимирская область, Петушинский район, г. Покров, п. Введенский, д.33- капитальный ремонт крыши,
- Владимирская область, Петушинский район, п. Городищи, ул. Советская, д.38 - капитальный ремонт крыши.</t>
  </si>
  <si>
    <t>FKR19021800007</t>
  </si>
  <si>
    <t>Протокол  рассмотрения зявок на участие в электронном аукционе  реестровый номер FKR19021800007  от 12 марта 2018 года</t>
  </si>
  <si>
    <t>№328/2017 19.02.2018</t>
  </si>
  <si>
    <t xml:space="preserve">Право заключения договора на выполнение строительно-монтажных работ при проведении капитального ремонта общего имущества в многоквартирном доме, расположенном по адресу:
Владимирская область, г. Петушки, ул. Чехова, д.5 - капитальный ремонт фундамента..
</t>
  </si>
  <si>
    <t>доп. согл. По УСН 1519329,5</t>
  </si>
  <si>
    <t>FKR16021800006</t>
  </si>
  <si>
    <t>Протокол  рассмотрения зявок на участие в электронном аукционе  реестровый номер FKR16021800006  от 12 марта 2018 года</t>
  </si>
  <si>
    <t>№329/2017 19.02.2018</t>
  </si>
  <si>
    <t>Право заключения договора на выполнение строительно-монтажных работ при проведении капитального ремонта общего имущества в многоквартирных домах, расположенных по следующим адресам:
- Владимирская область, г. Юрьев-Польский, ул. Шибанкова, д.2 - капитальный ремонт фасада,
- Владимирская область, г. Юрьев-Польский, ул. Станционная, д.15 - капитальный ремонт фасада</t>
  </si>
  <si>
    <t>доп. согл. По УСН 3072199,84</t>
  </si>
  <si>
    <t>решение комиссии по предупреждению и ликвидации чрезвычайных ситуацийи иобеспечению пожарной безопасности города Ковров от 22.09.2017 № 48</t>
  </si>
  <si>
    <t>№ 21/2018 /КЧС от 30.03.2018</t>
  </si>
  <si>
    <t>Выполнение строительно-монтажных работ при проведении капитального ремонта  крыши, ВИС электроснабжение многоквартирного дома, расположенного по адресу:
- Владимирская область, г.Ковров, ул.Островского, д.57/2</t>
  </si>
  <si>
    <t>5.04.2018           20.05.2018</t>
  </si>
  <si>
    <t>ОАО "ТОПОС-19"</t>
  </si>
  <si>
    <t>г.Ковров, ул.Муромская, д.9а</t>
  </si>
  <si>
    <t>FKR16021800005</t>
  </si>
  <si>
    <t xml:space="preserve">Протокол  рассмотрения зявок на участие в процедуре 
 Реестровый номер: FKR16021800005 от 15 марта 2018 года
 </t>
  </si>
  <si>
    <t>№330/2017 03.04.2018</t>
  </si>
  <si>
    <t>Право заключения договора на выполнение строительно-монтажных работ при проведении капитального ремонта общего имущества в многоквартирном доме, расположенном по адресу:
Владимирская область,  г. Владимир, ул. Суздальская, д.6 - капитальный ремонт крыши.</t>
  </si>
  <si>
    <t>доп. согл. По УСН 991232,97</t>
  </si>
  <si>
    <t>FKR21021800023</t>
  </si>
  <si>
    <t>Протокол  рассмотрения зявок на участие в электронном аукционе  реестровый номер FKR21021800023  от 15 марта 2018 года</t>
  </si>
  <si>
    <t>№332/2017 19.02.2018</t>
  </si>
  <si>
    <t>Право заключения договора на выполнение строительно-монтажных работ при проведении капитального ремонта общего имущества в многоквартирном доме, расположенном по адресу:
- Владимирская область, Петушинский район, г. Покров, ул. Пролетарская, д.3 - капитальный ремонт внутридомовых инженерных систем холодного водоснабжения, горячего водоснабжения и водоотведения.</t>
  </si>
  <si>
    <t>доп. согл. По УСН 1849372,82</t>
  </si>
  <si>
    <t>FKR20021800007</t>
  </si>
  <si>
    <t>Протокол  рассмотрения зявок на участие в электронном аукционе  реестровый номер FKR20021800007  от 15 марта 2018 года</t>
  </si>
  <si>
    <t>№331/2017 19.02.2018</t>
  </si>
  <si>
    <t>Право заключения договора на выполнение строительно-монтажных работ при проведении капитального ремонта общего имущества в многоквартирном доме, расположенном по адресу:
- Владимирская область, г. Юрьев-Польский, ул. Свободы, д.133 - капитальный ремонт подвала.</t>
  </si>
  <si>
    <t>доп. согл. По УСН 425822,46</t>
  </si>
  <si>
    <t>FKR21021800024</t>
  </si>
  <si>
    <t>Протокол  рассмотрения зявок на участие в электронном аукционе  реестровый номер FKR21021800024  от 15 марта 2018 года</t>
  </si>
  <si>
    <t>№333/2017 03.02.2018</t>
  </si>
  <si>
    <t>Право заключения договора на выполнение строительно-монтажных работ при проведении капитального ремонта общего имущества в многоквартирном доме, расположенном по адресу:
- Владимирская область, г. Александров, ул. Стрелецкая набережная, д.2 - капитальный ремонт внутридомовых инженерных систем водоотведения и теплоснабжения.</t>
  </si>
  <si>
    <t>Рожков
Владимир
Михайлович</t>
  </si>
  <si>
    <t>602102, Владимирская область,
г.Меленки, ул.Фрунзе д. 101</t>
  </si>
  <si>
    <t>доп. согл. По УСН 525756,3</t>
  </si>
  <si>
    <t>FKR27021800008</t>
  </si>
  <si>
    <t>Протокол  рассмотрения зявок на участие в электронном аукционе  реестровый номер FKR27021800008  от 21 марта 2018 года</t>
  </si>
  <si>
    <t>№335/2017 09.04.2018</t>
  </si>
  <si>
    <t>Право заключения договора на выполнение строительно-монтажных работ при проведении капитального ремонта общего имущества в многоквартирном доме, расположенном по адресу:
Владимирская область, г. Владимир, ул. Мира, д.23 - капитальный ремонт крыши.</t>
  </si>
  <si>
    <t>доп. согл. По УСН 2550779,27</t>
  </si>
  <si>
    <t>FKR27021800012</t>
  </si>
  <si>
    <t>Протокол  рассмотрения зявок на участие в электронном аукционе  реестровый номер FKR27021800012 от 21 марта 2018 года</t>
  </si>
  <si>
    <t>334/2017 от 09.04.2018</t>
  </si>
  <si>
    <t>Право заключения договора на выполнение строительно-монтажных работ при проведении капитального ремонта общего имущества в многоквартирном доме, расположенном по адресу:
- Владимирская область, г. Кольчугино, ул. Дружбы, д.18-б - капитальный ремонт внутридомовых инженерных систем холодного водоснабжения, горячего водоснабжения, теплоснабжения.</t>
  </si>
  <si>
    <t>доп. согл. По УСН 2193501,4</t>
  </si>
  <si>
    <t>FKR07031800042</t>
  </si>
  <si>
    <t xml:space="preserve">Протокол проведения электронного аукциона 
 Реестровый номер: FKR07031800042 от 02 апреля 2018 года
 </t>
  </si>
  <si>
    <t>№336/2017 16.04.2018</t>
  </si>
  <si>
    <t>Право заключения договора на выполнение строительно-монтажных работ при проведении капитального ремонта общего имущества в многоквартирных домах, расположенных по следующим адресам:
- Владимирская область, г. Муром, ул. 30 лет Победы, д.9 - капитальный ремонт крыши,
- Владимирская область, г. Муром, ул. 30 лет Победы, д.11 - капитальный ремонт крыши.</t>
  </si>
  <si>
    <t>доп. согл. По УСН 2276374,17</t>
  </si>
  <si>
    <t>FKR15031800013</t>
  </si>
  <si>
    <t xml:space="preserve">Протокол  рассмотрения зявок на участие в процедуре 
 Реестровый номер: FKR15031800013 от 05.04.2018 г.
 </t>
  </si>
  <si>
    <t>№ 22/2018 от 17.04.2018</t>
  </si>
  <si>
    <t>Выполнение работ по оценке тех.состояния МКД, разработке ПСД на ремонт крыш 1 МКД.</t>
  </si>
  <si>
    <t>доп. согл. По УСН 59315,08</t>
  </si>
  <si>
    <t>FKR13031800003</t>
  </si>
  <si>
    <t xml:space="preserve">Протокол  рассмотрения зявок на участие в процедуре 
 Реестровый номер: FKR13031800003 от 05 апреля 2018 года
 </t>
  </si>
  <si>
    <t>№337/2017 23.04.2018</t>
  </si>
  <si>
    <t xml:space="preserve">  Право заключения договора на выполнение строительно-монтажных работ при проведении капитального ремонта многоквартирного дома, расположенного по адресу:
- Владимирская область, Кольчугинский р-н, п. Бавлены, ул. Лесная, д. 5 - капитальный ремонт крыши.</t>
  </si>
  <si>
    <t>доп. согл. По УСН 4415561,59</t>
  </si>
  <si>
    <t>FKR20031800005</t>
  </si>
  <si>
    <t xml:space="preserve">Протокол проведения электронного аукциона 
 Реестровый номер: FKR20031800005 от 12 апреля 2018 года
 </t>
  </si>
  <si>
    <t>№338/2017 25.04.2018</t>
  </si>
  <si>
    <t xml:space="preserve">Владимирская область, г. Владимир, ул. 1-я Пионерская, д.59 - капитальный ремонт крыши. 
</t>
  </si>
  <si>
    <t>FKR20031800006</t>
  </si>
  <si>
    <t>№339/2017 25.04.2018</t>
  </si>
  <si>
    <t>Владимирская область,  Собинский район, п. Ставрово, ул. Октябрьская, д.136 - капитальный ремонт крыши.</t>
  </si>
  <si>
    <t xml:space="preserve">ИП Лобанов Вячеслав
Валерьевич
</t>
  </si>
  <si>
    <t xml:space="preserve">600023, Владимирская область,
Коммунар, мкр., Владимир, г,
Зеленая, ул., 68:: 26
</t>
  </si>
  <si>
    <t>доп. согл. По УСН 1969703,2</t>
  </si>
  <si>
    <t>FKR26031800005</t>
  </si>
  <si>
    <t xml:space="preserve">Протокол проведения электронного аукциона 
 Реестровый номер: FKR26031800005 от 17 апреля 2018 года
 </t>
  </si>
  <si>
    <t>№341/2017 2.04.2018</t>
  </si>
  <si>
    <t>Владимирская область, г. Владимир, ул. Горького, д.85 - капитальный ремонт фасада.</t>
  </si>
  <si>
    <t>FKR20031800013</t>
  </si>
  <si>
    <t xml:space="preserve">Протокол  рассмотрения зявок на участие в процедуре 
 Реестровый номер: FKR20031800013 от 16.04.2018 г.
 </t>
  </si>
  <si>
    <t>№340/2017 от  28.04.2018</t>
  </si>
  <si>
    <t>Владимирская область,  г. Киржач, ул. Привокзальная, д.11 - капитальный ремонт крыши,
- Владимирская область,  г. Киржач, ул. Текстильщиков, д.14 - капитальный ремонт крыши.</t>
  </si>
  <si>
    <t>доп. согл. По УСН 4295091,1</t>
  </si>
  <si>
    <t>FKR26031800004</t>
  </si>
  <si>
    <t xml:space="preserve">Протокол проведения электронного аукциона  
 Реестровый номер: FKR26031800004 от 17.04.2018 года
 </t>
  </si>
  <si>
    <t>№ 342/2017 от 04.05.2018</t>
  </si>
  <si>
    <t xml:space="preserve">Владимирская область, г. Владимир, ул. Офицерская, д.3 - капитальный ремонт фасада.
</t>
  </si>
  <si>
    <t>доп. согл. По УСН 1476633,51</t>
  </si>
  <si>
    <t>FKR22031800010</t>
  </si>
  <si>
    <t xml:space="preserve">Протокол  рассмотрения зявок на участие в процедуре 
 Реестровый номер: FKR22031800010 от 12.04.2018 г.
 </t>
  </si>
  <si>
    <t>№ 23/2018 от 26.04.2018</t>
  </si>
  <si>
    <t>в течение 50 календарных дней</t>
  </si>
  <si>
    <t>доп. согл. По УСН 114320,09</t>
  </si>
  <si>
    <t>FKR29031800021</t>
  </si>
  <si>
    <t xml:space="preserve">Протокол  рассмотрения зявок на участие в процедуре 
 Реестровый номер: FKR29031800021 от 20.04.2018 г.
 </t>
  </si>
  <si>
    <t>№ 24/2018 от 08.05.2018</t>
  </si>
  <si>
    <t>Выполнение работ по оценке тех.состояния МКД, разработке ПСД на ремонт фасада 14 МКД.</t>
  </si>
  <si>
    <t>доп. согл. По УСН 634115,06</t>
  </si>
  <si>
    <t>FKR28031800013</t>
  </si>
  <si>
    <t xml:space="preserve">Протокол проведения электронного аукциона  
 Реестровый номер: FKR28031800013 от 20.04.2018 года
 </t>
  </si>
  <si>
    <t>№ 25/2018 от 08.05.2018</t>
  </si>
  <si>
    <t xml:space="preserve">Владимирская область, г. Киржач, ул. 40 лет Октября, д.7 - капитальный ремонт крыши,
- Владимирская область, г. Киржач, ул. Заводская, д.8 - капитальный ремонт крыши,
- Владимирская область, г. Киржач, ул. Ленинградская, д.100 - капитальный ремонт крыши.
</t>
  </si>
  <si>
    <t>ООО «Промремстрой»</t>
  </si>
  <si>
    <t>600901, Владимирская область, г.
Владимир, мкр. Юрьевец, ул.
Рябиновая, д. 51</t>
  </si>
  <si>
    <t>доп. согл. По УСН 5013582,71</t>
  </si>
  <si>
    <t>FKR03041800007</t>
  </si>
  <si>
    <t xml:space="preserve">Протокол  рассмотрения зявок на участие в процедуре 
 Реестровый номер: FKR03041800007 от 24.04.2018 г.
 </t>
  </si>
  <si>
    <t>№ 27/2018 от 10.05.2018</t>
  </si>
  <si>
    <t>доп. согл. По УСН 154127,85</t>
  </si>
  <si>
    <t>FKR28031800014</t>
  </si>
  <si>
    <t xml:space="preserve">Протокол  рассмотрения зявок на участие в процедуре 
 Реестровый номер: FKR28031800014 от 23.04.2018 г.
 </t>
  </si>
  <si>
    <t>№26/2018 от  11.05.2018</t>
  </si>
  <si>
    <t>Владимирская область, г. Киржач, ул. Владимирская, д.35 -капитальный ремонт крыши
- Владимирская область, г. Киржач, ул. Приозерная, д.2-а - капитальный ремонт крыши</t>
  </si>
  <si>
    <t>доп. согл. По УСН 5107228,04</t>
  </si>
  <si>
    <t>FKR10041800020</t>
  </si>
  <si>
    <t xml:space="preserve">Протокол проведения электронного аукциона 
 Реестровый номер: FKR10041800020 от 04 мая 2018 года
 </t>
  </si>
  <si>
    <t>№43/2018 15.05.2018</t>
  </si>
  <si>
    <t>Владимирская область, г. Муром, ул. 30 лет Победы, д.2 – капитальный ремонт крыши.</t>
  </si>
  <si>
    <t>доп. согл. По УСН 4408951,89</t>
  </si>
  <si>
    <t>FKR02041800010</t>
  </si>
  <si>
    <t xml:space="preserve">Протокол  рассмотрения зявок на участие в процедуре 
 Реестровый номер: FKR02041800010 от 27.04.2018 г.
 </t>
  </si>
  <si>
    <t>№ 32/2018 от 16.05.2018</t>
  </si>
  <si>
    <t>доп. согл. По УСН 146284,81</t>
  </si>
  <si>
    <t>FKR04041800020</t>
  </si>
  <si>
    <t xml:space="preserve">Протокол  рассмотрения зявок на участие в процедуре 
 Реестровый номер: FKR04041800020 от 27.08. 2018 года
 </t>
  </si>
  <si>
    <t>№28/2017-2018 от 16.05.2018</t>
  </si>
  <si>
    <t>Право заключения договора оказания услуг по осуществлению строительного контроля при выполнении работ по капитальному ремонту общего имущества многоквартирных домов, расположенных на территории города Владимира и ЗАТО Радужный Владимирской области.</t>
  </si>
  <si>
    <t>16.05.2018-31.12.2018</t>
  </si>
  <si>
    <t>FKR05041800006</t>
  </si>
  <si>
    <t>Протокол  рассмотрения зявок на участие в электронном аукционе  реестровый номер FKR FKR05041800006 от 03 мая 2018 года</t>
  </si>
  <si>
    <t>39/2018 от 18.05.2018</t>
  </si>
  <si>
    <t>Владимирская область, г. Киржач, ул. Большая Московская, д.2 -капитальный ремонт крыши
- Владимирская область, Киржачский район, д. Федоровское, ул. Советская, д.17 - капитальный ремонт крыши.</t>
  </si>
  <si>
    <t>доп. согл. По УСН 4048760,25</t>
  </si>
  <si>
    <t>FKR10041800022</t>
  </si>
  <si>
    <t>Протокол  рассмотрения зявок на участие в электронном аукционе  реестровый номер FKR FKR10041800022 от 04 мая 2018 года</t>
  </si>
  <si>
    <t>343/2017 от 18.05.2018</t>
  </si>
  <si>
    <t>Владимирская область, Юрьев-Польский р-н, с. Энтузиаст, ул. Центральная, д.4 - капитальный ремонт крыши.</t>
  </si>
  <si>
    <t>ООО "Строй-Град"</t>
  </si>
  <si>
    <t xml:space="preserve">601800, Владимирская область, г.
Юрьев -Польский, 1- Мая, 67:: 6 </t>
  </si>
  <si>
    <t>доп. согл. По УСН 3193936,12</t>
  </si>
  <si>
    <t>FKR04041800019</t>
  </si>
  <si>
    <t>протокол рассмотрения зявок на участие в процедуре FKR04041800019 от 03 мая 2018 года</t>
  </si>
  <si>
    <t>№36/2018 18.05.2018</t>
  </si>
  <si>
    <t xml:space="preserve">Право заключения договора оказания услуг по осуществлению строительного контроля при выполнении работ по капитальному ремонту общего имущества многоквартирных домов, расположенных на территории города Муром, Муромского, Меленковского и Селивановского районов Владимирской области.
</t>
  </si>
  <si>
    <t>FKR04041800016</t>
  </si>
  <si>
    <t>№34/2018 18.05.2018</t>
  </si>
  <si>
    <t xml:space="preserve">Право заключения договора оказания услуг по осуществлению строительного контроля при выполнении работ по капитальному ремонту общего имущества многоквартирных домов, расположенных на территории Александровского района Владимирской области.
</t>
  </si>
  <si>
    <t>FKR11041800015</t>
  </si>
  <si>
    <t xml:space="preserve">Протокол проведения электронного аукциона 
 Реестровый номер: FKR11041800015 от 04 мая 2018 года
 </t>
  </si>
  <si>
    <t>№42/2018 17.05.2018</t>
  </si>
  <si>
    <t>Право заключения договора на выполнение работ по разработке проектной документации на проведение капитального ремонта крыш, выполнение строительно-монтажных работ при проведении капитального ремонта крыш многоквартирных домов. 16 МКД</t>
  </si>
  <si>
    <t>FKR11041800016</t>
  </si>
  <si>
    <t xml:space="preserve">Протокол проведения электронного аукциона 
 Реестровый номер: FKR11041800016 от 04 мая 2018 года
 </t>
  </si>
  <si>
    <t>№44/2018 17.05.2018</t>
  </si>
  <si>
    <t>Право заключения договора на выполнение работ по разработке проектной документации на проведение капитального ремонта крыш, выполнение строительно-монтажных работ при проведении капитального ремонта крыш многоквартирных домов. 6 МКД</t>
  </si>
  <si>
    <t xml:space="preserve">ООО "Кольчуг-Строй" </t>
  </si>
  <si>
    <t xml:space="preserve">601780, Владимирская область,
кольчугино, Кольчугино, улица
Добровольского, 36:: нет
</t>
  </si>
  <si>
    <t>FKR04041800017</t>
  </si>
  <si>
    <t>протокол рассмотрения зявок на участие в процедуре FKR04041800017 от 03 мая 2018 года</t>
  </si>
  <si>
    <t>№30/2018 22.05.2018</t>
  </si>
  <si>
    <t xml:space="preserve">Право заключения договора оказания услуг по осуществлению строительного контроля при выполнении работ по капитальному ремонту общего имущества многоквартирных домов, расположенных на территории Вязниковского и Гороховецкого районов Владимирской области
</t>
  </si>
  <si>
    <t>ООО "ГОРСТРОЙ"</t>
  </si>
  <si>
    <t xml:space="preserve">241004, Брянская область, Брянск,
проспект московский, 99Б </t>
  </si>
  <si>
    <t>FKR04041800018</t>
  </si>
  <si>
    <t>протокол рассмотрения зявок на участие в процедуре FKR04041800018 от 03 мая 2018 года</t>
  </si>
  <si>
    <t>№31/2018 22.05.2018</t>
  </si>
  <si>
    <t xml:space="preserve">Право заключения договора оказания услуг по осуществлению строительного контроля при выполнении работ по капитальному ремонту общего имущества многоквартирных домов, расположенных на территории города Гусь-Хрустальный, Гусь-Хрустального и Судогодского районов Владимирской области.
</t>
  </si>
  <si>
    <t>FKR04041800022</t>
  </si>
  <si>
    <t>протокол рассмотрения зявок на участие в процедуре FKR04041800022 от 03 мая 2018 года</t>
  </si>
  <si>
    <t>№29/2018 22.05.2018</t>
  </si>
  <si>
    <t xml:space="preserve">Право заключения договора оказания услуг по осуществлению строительного контроля при выполнении работ по капитальному ремонту общего имущества многоквартирных домов, расположенных на территории города Ковров, Ковровского района, Камешковского района, Суздальского района Владимирской области.
</t>
  </si>
  <si>
    <t>FKR04041800023</t>
  </si>
  <si>
    <t xml:space="preserve">Протокол проведения электронного аукциона 
 Реестровый номер: FKR04041800023 от 03 мая 2018 года
 </t>
  </si>
  <si>
    <t>№33/2017-2018 22.05.2018</t>
  </si>
  <si>
    <t>Право заключения договора оказания услуг по осуществлению строительного контроля при выполнении работ по капитальному ремонту общего имущества многоквартирных домов, расположенных на территории Собинского и Петушинского районов Владимирской области.</t>
  </si>
  <si>
    <t>FKR04041800021</t>
  </si>
  <si>
    <t xml:space="preserve">Протокол проведения электронного аукциона 
 Реестровый номер: FKR04041800021 от 03 мая 2018 года
 </t>
  </si>
  <si>
    <t>№35/2018 22.05.2018</t>
  </si>
  <si>
    <t>Право заключения договора оказания услуг по осуществлению строительного контроля при выполнении работ по капитальному ремонту общего имущества многоквартирных домов, расположенных на территории Киржачского, Кольчугинского и Юрьев-Польского районов Владимирской области.</t>
  </si>
  <si>
    <t>FKR05041800008</t>
  </si>
  <si>
    <t xml:space="preserve">Протокол проведения электронного аукциона  
 Реестровый номер: FKR05041800008 от 03.05.2018 года
 </t>
  </si>
  <si>
    <t>№ 37/2018 от 22.05.2018</t>
  </si>
  <si>
    <t xml:space="preserve">Владимирская область, г. Киржач, ул. Ленинградская, д.54 - капитальный ремонт крыши,
- Владимирская область, г. Киржач, ул. 40 лет Октября, д.30 - капитальный ремонт крыши.
</t>
  </si>
  <si>
    <t>ООО
"СПЕЦРЕМСТРОЙ"</t>
  </si>
  <si>
    <t>109378, г. Москва,
ул. Академика Скрябина, д. 26,
корп. 1</t>
  </si>
  <si>
    <t>доп. согл. По УСН 3276230,9</t>
  </si>
  <si>
    <t>FKR10041800013</t>
  </si>
  <si>
    <t>протокол проведения аукциона FKR10041800013 от 07 мая 2018 года</t>
  </si>
  <si>
    <t>№ 45/2018 от 22.05.2018</t>
  </si>
  <si>
    <t>Право заключения договора на выполнение строительно-монтажных работ при проведении капитального ремонта (замены) лифтового оборудования в многоквартирных домах. 12 МКД</t>
  </si>
  <si>
    <t>FKR10041800014</t>
  </si>
  <si>
    <t>протокол проведения аукциона FKR10041800014 от 07 мая 2018 года</t>
  </si>
  <si>
    <t>№ 46/2018 от 22.05.2018</t>
  </si>
  <si>
    <t>Право заключения договора на выполнение строительно-монтажных работ при проведении капитального ремонта (замены) лифтового оборудования в многоквартирных домах. 15 МКД</t>
  </si>
  <si>
    <t>FKR10041800019</t>
  </si>
  <si>
    <t>Протокол  рассмотрения зявок на участие в электронном аукционе  реестровый номер FKR10041800019                  от 04 мая  2018 года</t>
  </si>
  <si>
    <t>№41/2018 23.05.2018</t>
  </si>
  <si>
    <t>Владимирская область, г. Гороховец, ул. Ленина, д.7 – капитальный ремонт фасада,
- Владимирская область, г. Гороховец, ул. Ленина, д.13  – капитальный ремонт фасада.</t>
  </si>
  <si>
    <t>доп. согл. По УСН 2418113,91</t>
  </si>
  <si>
    <t>FKR10041800015</t>
  </si>
  <si>
    <t xml:space="preserve">Протокол  рассмотрения зявок на участие в процедуре 
 Реестровый номер: FKR10041800015 от 18.01.2018 г.
 </t>
  </si>
  <si>
    <t>№ 345/2017 от 22.05.2018</t>
  </si>
  <si>
    <t>Выполнение работ по оценке тех.состояния МКД, разработке ПСД на ремонт лифтового оборудования 3 МКД.</t>
  </si>
  <si>
    <t>FKR05041800007</t>
  </si>
  <si>
    <t xml:space="preserve">Протокол  рассмотрения зявок на участие в процедуре 
 Реестровый номер: FKR05041800007 от 03.05.2018 г.
 </t>
  </si>
  <si>
    <t>№38/2018 от  22.05.2018</t>
  </si>
  <si>
    <t xml:space="preserve"> Владимирская область, г. Киржач, ул. Ленинградская, д.102 - капитальный ремонт крыши,
- Владимирская область, Киржачский район, п. Горка, ул. Больничная, д.20 - капитальный ремонт крыши</t>
  </si>
  <si>
    <t>доп. согл. По УСН 3437806,55</t>
  </si>
  <si>
    <t>FKR19041800014</t>
  </si>
  <si>
    <t xml:space="preserve">Протокол проведения электронного аукциона 
 Реестровый номер: FKR19041800014 от 10 мая 2018 года
 </t>
  </si>
  <si>
    <t>№49/2018 24.05.2018</t>
  </si>
  <si>
    <t>Владимирская область,  г. Владимир, ул. Чайковского, д.44-а - капитальный ремонт крыши.</t>
  </si>
  <si>
    <t>доп. согл. По УСН 3517740,2</t>
  </si>
  <si>
    <t>FKR12041800011</t>
  </si>
  <si>
    <t>Протокол проведения электронного аукциона 
 Реестровый номер: FKR12041800011 от                        07 мая 2018 года</t>
  </si>
  <si>
    <t>№ 47/2018 от 24.05.2018</t>
  </si>
  <si>
    <t xml:space="preserve">Владимирская область,  г. Ковров, пр-д Брюсова, д.6 - капитальный ремонт крыши.
</t>
  </si>
  <si>
    <t xml:space="preserve">доп. согл. По УСН  1941545,75        </t>
  </si>
  <si>
    <t>FKR2404180024</t>
  </si>
  <si>
    <t xml:space="preserve">Протокол проведения электронного аукциона 
 Реестровый номер: FKR2404180024 от 16 мая 2018 года
 </t>
  </si>
  <si>
    <t>№52/2018 28.05.2018</t>
  </si>
  <si>
    <t>Право заключения договора на выполнение работ по разработке проектной документации на проведение капитального ремонта крыш, выполнение строительно-монтажных работ при проведении капитального ремонта крыш многоквартирных домов. 2 МКД</t>
  </si>
  <si>
    <t>FKR19041800020</t>
  </si>
  <si>
    <t>Протокол  рассмотрения зявок на участие в электронном аукционе  реестровый номер FKR19041800020                  от 10 мая  2018 года</t>
  </si>
  <si>
    <t>№344/2017 29.05.2018</t>
  </si>
  <si>
    <t>Владимирская область, г. Суздаль, ул. Лоунская, д.6  - капитальный ремонт внутридомовых инженерных систем электроснабжения.</t>
  </si>
  <si>
    <t>доп. согл. По УСН 302226,16</t>
  </si>
  <si>
    <t>FKR23041800016</t>
  </si>
  <si>
    <t xml:space="preserve">Протокол  рассмотрения зявок на участие в процедуре 
 Реестровый номер: FKR23041800016 от 16.05.2018 г.
 </t>
  </si>
  <si>
    <t>№ 55/2018 от 29.05.2018</t>
  </si>
  <si>
    <t>Право заключения договора на выполнение работ по оценке технического состояния многоквартирного дома, разработке проектной документации на проведение капитального ремонта многоквартирных домов. 12 МКД</t>
  </si>
  <si>
    <t>доп. согл. По УСН 664151,21</t>
  </si>
  <si>
    <t>FKR23041800015</t>
  </si>
  <si>
    <t xml:space="preserve">Протокол  рассмотрения зявок на участие в процедуре 
 Реестровый номер: FKR23041800015 от 16.05.2018 г.
 </t>
  </si>
  <si>
    <t>№ 54/2018 от 29.05.2018</t>
  </si>
  <si>
    <t>Право заключения договора на выполнение работ по оценке технического состояния многоквартирного дома, разработке проектной документации на проведение капитального ремонта многоквартирных домов. 6 МКД</t>
  </si>
  <si>
    <t>доп. согл. По УСН 341720,14</t>
  </si>
  <si>
    <t>FKR18041800010</t>
  </si>
  <si>
    <t xml:space="preserve">Протокол проведения электронного аукциона 
 Реестровый номер: FKR18041800010 от 10 мая 2018 года
 </t>
  </si>
  <si>
    <t>№48/2018 29.05.2018</t>
  </si>
  <si>
    <t>Владимирская область, г. Владимир, ул. Каманина, д.24 - капитальный ремонт крыши,
-  Владимирская область, г. Владимир, ул. Труда, д.4 - капитальный ремонт крыши.</t>
  </si>
  <si>
    <t>доп. согл. По УСН 3085280,52</t>
  </si>
  <si>
    <t>FKR24041800025</t>
  </si>
  <si>
    <t xml:space="preserve">Протокол проведения электронного аукциона 
 Реестровый номер: FKR24041800025 от 10 мая 2018 года
 </t>
  </si>
  <si>
    <t>№346/2017 29.05.2018</t>
  </si>
  <si>
    <t>Владимирская область, г. Гороховец, ул. Ленина, д.7 - капитальный ремонт крыши.
- Владимирская область, г. Гороховец, ул. Ленина, д.13 -капитальный ремонт крыши.</t>
  </si>
  <si>
    <t>ООО «Стимул»</t>
  </si>
  <si>
    <t xml:space="preserve">601443, Владимирская обл., г.
Вязники, Железнодоржная ул, 6
</t>
  </si>
  <si>
    <t>доп. согл. По УСН 3316071,23</t>
  </si>
  <si>
    <t>FKR19041800025</t>
  </si>
  <si>
    <t xml:space="preserve">Протокол проведения электронного аукциона 
 Реестровый номер: FKR19041800025 от 10 мая 2018 года
 </t>
  </si>
  <si>
    <t>№50/2018 29.05.2018</t>
  </si>
  <si>
    <t>Владимирская область,  г. Владимир, ул. Стрелецкий городок, д.60 - капитальный ремонт фасада.</t>
  </si>
  <si>
    <t>ООО «ВСИ»</t>
  </si>
  <si>
    <t xml:space="preserve">600027, Владимирская обл,
Владимир г, Лескова ул, 4 
</t>
  </si>
  <si>
    <t>FKR18041800009</t>
  </si>
  <si>
    <t xml:space="preserve">Протокол проведения электронного аукциона 
 Реестровый номер: FKR18041800009 от 10 мая 2018 года
 </t>
  </si>
  <si>
    <t>№51/2018 17.05.2018</t>
  </si>
  <si>
    <t>Право заключения договора на выполнение работ по разработке проектной документации на проведение капитального ремонта крыш, выполнение строительно-монтажных работ при проведении капитального ремонта крыш многоквартирных домов. 11 МКД</t>
  </si>
  <si>
    <t>FKR25041800020</t>
  </si>
  <si>
    <t xml:space="preserve">Протокол проведения электронного аукциона 
 Реестровый номер: FKR25041800020 от 16 мая 2018 года
 </t>
  </si>
  <si>
    <t>№53/2018 29.05.2018</t>
  </si>
  <si>
    <t>Владимирская область,  г. Владимир, ул. Мира, д.78/23- капитальный ремонт фасада.</t>
  </si>
  <si>
    <t>ООО УК
"СПЕЦСТРОЙГАРАНТ-1"</t>
  </si>
  <si>
    <t xml:space="preserve">601203, Владимирская область,
Собинка, Молодежная ул, 14
квартал
</t>
  </si>
  <si>
    <t>доп. согл. По УСН 3763769,07</t>
  </si>
  <si>
    <t>Средства собственников 
помещений</t>
  </si>
  <si>
    <t>FKR28041800051</t>
  </si>
  <si>
    <t xml:space="preserve">Протокол рассмотрения заявок на участие в электронном аукционе
 от 21 мая 2018 года
 </t>
  </si>
  <si>
    <t>№ 58/2018 01.06.2018</t>
  </si>
  <si>
    <r>
      <rPr>
        <u/>
        <sz val="12"/>
        <rFont val="Times New Roman"/>
        <family val="1"/>
        <charset val="204"/>
      </rPr>
      <t>Разработка ПСД и выполнение СМР:</t>
    </r>
    <r>
      <rPr>
        <sz val="12"/>
        <rFont val="Times New Roman"/>
        <family val="1"/>
        <charset val="204"/>
      </rPr>
      <t xml:space="preserve">
1. Владимирская область, Александровский р-н, п. Балакирево, кв-л Юго-Западный, д. 4,
2. Владимирская область, Александровский р-н, п. Балакирево, кв-л Юго-Западный, д. 14,
3. Владимирская область, Александровский р-н, п. Балакирево, кв-л Юго-Западный, д. 18,
4. Владимирская область, Александровский р-н, п. Балакирево,  ул. 60 лет Октября, д. 1.
</t>
    </r>
  </si>
  <si>
    <r>
      <t xml:space="preserve">1. Александровский р-н, п. Балакирево, кв-л Юго-Западный, д. 4,
2. Александровский р-н, п. Балакирево, кв-л Юго-Западный, д. 14,
3. Александровский р-н, п. Балакирево, кв-л Юго-Западный, д. 18
</t>
    </r>
    <r>
      <rPr>
        <b/>
        <sz val="11"/>
        <rFont val="Times New Roman"/>
        <family val="1"/>
        <charset val="204"/>
      </rPr>
      <t>с 15.08.2018 по 14.11.2018</t>
    </r>
    <r>
      <rPr>
        <b/>
        <sz val="10"/>
        <rFont val="Times New Roman"/>
        <family val="1"/>
        <charset val="204"/>
      </rPr>
      <t xml:space="preserve">
4. Александровский р-н, п. Балакирево,  ул. 60 лет Октября, д. 1
 </t>
    </r>
    <r>
      <rPr>
        <b/>
        <sz val="11"/>
        <rFont val="Times New Roman"/>
        <family val="1"/>
        <charset val="204"/>
      </rPr>
      <t>с 15.08.2018 по 31.09.2018</t>
    </r>
  </si>
  <si>
    <t>FKR23041800018</t>
  </si>
  <si>
    <t>Протокол  рассмотрения зявок на участие в электронном аукционе  реестровый номер FKR23041800018                  от 16 мая 2018 года</t>
  </si>
  <si>
    <t>№40/2018 04.06.2018</t>
  </si>
  <si>
    <t>Владимирская область, г. Юрьев-Польский, ул. 1 Мая, д.48 - капитальный ремонт крыши.</t>
  </si>
  <si>
    <t>доп. согл. По УСН 2178185,87</t>
  </si>
  <si>
    <t>FKR28041800043</t>
  </si>
  <si>
    <t xml:space="preserve">Протокол  рассмотрения зявок на участие в процедуре 
от 21.05.2018 г.
 </t>
  </si>
  <si>
    <t>№ 59/2018 от 05.06.2018</t>
  </si>
  <si>
    <t>доп. согл. По УСН 
681 166,03</t>
  </si>
  <si>
    <t>FKR28041800044</t>
  </si>
  <si>
    <t>№ 56/2018 от 05.06.2018</t>
  </si>
  <si>
    <t>FKR28041800048</t>
  </si>
  <si>
    <t>№ 57/2018 от 05.06.2018</t>
  </si>
  <si>
    <t>Право заключения договора на выполнение работ по оценке технического состояния многоквартирного дома, разработке проектной документации на проведение капитального ремонта многоквартирных домов. 4 МКД</t>
  </si>
  <si>
    <t>FKR28041800045</t>
  </si>
  <si>
    <t>№ 60/2018 от 07.06.2018</t>
  </si>
  <si>
    <t>Право заключения договора на выполнение работ по оценке технического состояния многоквартирного дома, разработке проектной документации на проведение капитального ремонта многоквартирных домов. 13 МКД</t>
  </si>
  <si>
    <t>доп. согл. По УСН 804233,88</t>
  </si>
  <si>
    <t>FKR03051800065</t>
  </si>
  <si>
    <t xml:space="preserve">Протокол проведения электронного аукциона 
 Реестровый номер: FKR03051800065 от 25 мая 2018 года
 </t>
  </si>
  <si>
    <t>№71/2018 07.06.2018</t>
  </si>
  <si>
    <t>Владимирская область,  г. Муром, ул. Мечникова, д.56 - капитальный ремонт крыши</t>
  </si>
  <si>
    <t>доп. согл. По УСН 2851876,9</t>
  </si>
  <si>
    <t>FKR04051800017</t>
  </si>
  <si>
    <t>Протокол проведения электронного аукциона 
 Реестровый номер: FKR04051800017 от                        25 мая 2018 года</t>
  </si>
  <si>
    <t>№ 61/2018 от 09.06.2018</t>
  </si>
  <si>
    <t xml:space="preserve">Владимирская область,  г. Ковров, пр-д Брюсова, д.3 - капитальный ремонт крыши.
</t>
  </si>
  <si>
    <t xml:space="preserve">доп. согл. По УСН  2184408,62        </t>
  </si>
  <si>
    <t>FKR04051800016</t>
  </si>
  <si>
    <t>Протокол проведения электронного аукциона 
 Реестровый номер: FKR04051800016 от                        25 мая 2018 года</t>
  </si>
  <si>
    <t>№ 62/2018 от 09.06.2018</t>
  </si>
  <si>
    <t xml:space="preserve">Владимирская область,  г. Ковров, ул. Генералова, д.5а - капитальный ремонт крыши.
</t>
  </si>
  <si>
    <t xml:space="preserve">доп. согл. По УСН  1235370,64        </t>
  </si>
  <si>
    <t>FKR03051800068</t>
  </si>
  <si>
    <t>Протокол проведения электронного аукциона 
 Реестровый номер: FKR03051800068 от                        25 мая 2018 года</t>
  </si>
  <si>
    <t>№ 65/2018 от 13.06.2018</t>
  </si>
  <si>
    <t>Владимирская область,  г. Судогда, ул. Коммунистическая, д.8 - капитальный ремонт крыши.</t>
  </si>
  <si>
    <t>ООО"Опора плюс"</t>
  </si>
  <si>
    <t xml:space="preserve">390027, Рязанская область, Рязань
г, Новая улица, 53 лит. А-А2:: 204
</t>
  </si>
  <si>
    <t xml:space="preserve">        </t>
  </si>
  <si>
    <t>FKR03051800067</t>
  </si>
  <si>
    <t>Протокол проведения электронного аукциона 
 Реестровый номер: FKR03051800067 от                        25 мая 2018 года</t>
  </si>
  <si>
    <t>№ 66/2018 от 13.06.2018</t>
  </si>
  <si>
    <t>Владимирская область,  г. Собинка, ул. Центральная, д.24 - капитальный ремонт крыши.</t>
  </si>
  <si>
    <t>FKR03051800064</t>
  </si>
  <si>
    <t>Протокол проведения электронного аукциона 
 Реестровый номер: FKR03051800064 от                        25 мая 2018 года</t>
  </si>
  <si>
    <t>№ 68/2018 от 13.06.2018</t>
  </si>
  <si>
    <t>Владимирская область,  Собинский р-н, г. Лакинск, ул. Текстильщиков, д.4 - капитальный ремонт крыши.</t>
  </si>
  <si>
    <t>FKR03051800063</t>
  </si>
  <si>
    <t>Протокол проведения электронного аукциона 
 Реестровый номер: FKR03051800063 от                        25 мая 2018 года</t>
  </si>
  <si>
    <t>№ 69/2018 от 13.06.2018</t>
  </si>
  <si>
    <t>Владимирская область,  Собинский р-н, г. Лакинск, ул. Советская, д.4 - капитальный ремонт крыши.</t>
  </si>
  <si>
    <t>FKR03051800062</t>
  </si>
  <si>
    <t>Протокол проведения электронного аукциона 
 Реестровый номер: FKR03051800062 от                        25 мая 2018 года</t>
  </si>
  <si>
    <t>№ 67/2018 от 13.06.2018</t>
  </si>
  <si>
    <t>Владимирская область,  Собинский р-н, г. Лакинск, ул. Лермонтова, д.36 - капитальный ремонт крыши.</t>
  </si>
  <si>
    <t>FKR03051800058</t>
  </si>
  <si>
    <t>Протокол проведения электронного аукциона 
 Реестровый номер: FKR03051800058 от                        25 мая 2018 года</t>
  </si>
  <si>
    <t>№ 72/2018 от 13.06.2018</t>
  </si>
  <si>
    <t xml:space="preserve">Владимирская область,  г. Гусь-Хрустальный, ул. Садовая, д.59 - капитальный ремонт крыши.
</t>
  </si>
  <si>
    <t xml:space="preserve">ООО "Перспектива" </t>
  </si>
  <si>
    <t xml:space="preserve">390029, Рязанская область, г.
Рязань, ул.Чкалова, д.48"Г" </t>
  </si>
  <si>
    <t>FKR03051800054</t>
  </si>
  <si>
    <t>Протокол проведения электронного аукциона 
 Реестровый номер: FKR03051800058 от                        28 мая 2018 года</t>
  </si>
  <si>
    <t>№ 73/2018 от 13.06.2018</t>
  </si>
  <si>
    <t xml:space="preserve">Владимирская область,  г. Владимир, ул. Чайковского, д. 38-а - капитальный ремонт крыши.
</t>
  </si>
  <si>
    <t>FKR03051800060</t>
  </si>
  <si>
    <t>Протокол проведения электронного аукциона 
 Реестровый номер: FKR03051800060 от                        25 мая 2018 года</t>
  </si>
  <si>
    <t>№ 75/2018 от 13.06.2018</t>
  </si>
  <si>
    <t>Владимирская область,  Киржачский р-н, д. Кашино, д.138 - капитальный ремонт крыши</t>
  </si>
  <si>
    <t xml:space="preserve">ООО Клуб альпинистов
"Ирбис" </t>
  </si>
  <si>
    <t>390044, Рязанская область, Рязань,
ул. Костычева, 11, помещение Н50,
Литера А1</t>
  </si>
  <si>
    <t xml:space="preserve">6231036372
</t>
  </si>
  <si>
    <t>доп. согл. По УСН 1924954,52</t>
  </si>
  <si>
    <t>FKR03051800061</t>
  </si>
  <si>
    <t>Протокол проведения электронного аукциона 
 Реестровый номер: FKR03051800061 от                        25 мая 2018 года</t>
  </si>
  <si>
    <t>№ 74/2018 от 13.06.2018</t>
  </si>
  <si>
    <t>Владимирская область,  г. Киржач, кв-л Прибрежный, д.1 - капитальный ремонт крыши.</t>
  </si>
  <si>
    <t>доп. согл. По УСН 2708094,45</t>
  </si>
  <si>
    <t>FKR03051800066</t>
  </si>
  <si>
    <t xml:space="preserve">Протокол проведения электронного аукциона 
 Реестровый номер: FKR03051800066 от 25 мая 2018 года
 </t>
  </si>
  <si>
    <t>№70/2018 13.06.2018</t>
  </si>
  <si>
    <t>Владимирская область,  г. Радужный, кв-л 9-й, д.8 - капитальный ремонт крыши.</t>
  </si>
  <si>
    <t>доп. согл. По УСН 1315685,1</t>
  </si>
  <si>
    <t>FKR04051800014</t>
  </si>
  <si>
    <t xml:space="preserve">Протокол  рассмотрения зявок на участие в процедуре 
 Реестровый номер: FKR04051800014 от 25 мая 2018 года
 </t>
  </si>
  <si>
    <t>№63/2018 от 13.06.2018</t>
  </si>
  <si>
    <t>Владимирская область,  Юрьев-Польский район, с. Сосновый бор, ул. Центральная,  д.9,
- Владимирская область,  Юрьев-Польский район, с. Сосновый бор, ул. Центральная,  д.10 - капитальный ремонт крыш.</t>
  </si>
  <si>
    <t>доп. согл. По УСН 2692795,59</t>
  </si>
  <si>
    <t>FKR04051800012</t>
  </si>
  <si>
    <t xml:space="preserve">Протокол  рассмотрения зявок на участие в процедуре 
 Реестровый номер: FKR04051800012 от 25 мая 2018 года
 </t>
  </si>
  <si>
    <t>№64/2018 от 13.06.2018</t>
  </si>
  <si>
    <t xml:space="preserve"> Владимирская область,  г. Юрьев-Польский, ул. Шибанкова, д.107,
- Владимирская область,  Юрьев-Польский район, с. Ополье, д.8 - капитальный ремонт крыш.</t>
  </si>
  <si>
    <t>доп. согл. По УСН 3445174,22</t>
  </si>
  <si>
    <t>FKR03051800055</t>
  </si>
  <si>
    <t xml:space="preserve">Протокол проведения электронного аукциона 
 от 28.05.2018 года
 </t>
  </si>
  <si>
    <t>№76/2018 14.06.2018</t>
  </si>
  <si>
    <t>СМР пр проведении капитального ремонта крыши МКД - г. Владимир, ул. Чайквского, д.44.</t>
  </si>
  <si>
    <t>15.06.18-31.08.18</t>
  </si>
  <si>
    <t>FKR04051800015</t>
  </si>
  <si>
    <t xml:space="preserve">Протокол проведения электронного аукциона 
 от 31.05.2018 года
 </t>
  </si>
  <si>
    <t>№83/2018 14.06.2018</t>
  </si>
  <si>
    <t>СМР пр проведении капитального ремонта крыш МКД - г. Гсь-Хрустальный, пер. Гражданский, д.20/1,
- г. Гусь-Хрустальный, пер. Гражданский, д.26.</t>
  </si>
  <si>
    <t>1. г. Гусь-Хрустальный, пер. Гражданский, д.20/1 - 20.06.18-10.07.18
2.  г. Гусь-Хрустальный, пер. Гражданский, д.26- 20.06.18-31.07.18</t>
  </si>
  <si>
    <t>FKR03051800056</t>
  </si>
  <si>
    <t>№78/2018 14.06.2018</t>
  </si>
  <si>
    <t>СМР пр проведении капитального ремонта крыши МКД - г. Владимир, ул. Сущевская, д.50.</t>
  </si>
  <si>
    <t>25.06.18-05.08.18</t>
  </si>
  <si>
    <t>FKR03051800059</t>
  </si>
  <si>
    <t>№77/2018 14.06.2018</t>
  </si>
  <si>
    <t>СМР пр проведении капитального ремонта крыши МКД - Собинский р-н, с. Заресное, ул. Парковая, д.1.</t>
  </si>
  <si>
    <t>25.06.18-12.08.18</t>
  </si>
  <si>
    <t>FKR03051800057</t>
  </si>
  <si>
    <t>№79/2018 14.06.2018</t>
  </si>
  <si>
    <t>СМР пр проведении капитального ремонта крыши МКД - Сг.Владимир, ул. Чайковского, д.30.</t>
  </si>
  <si>
    <t>20.06.18-24.08.18</t>
  </si>
  <si>
    <t>Владимир, Юрьевец, Рябиновая, д.51</t>
  </si>
  <si>
    <t>FKR010051800012</t>
  </si>
  <si>
    <t>№81/2018 18.06.2018</t>
  </si>
  <si>
    <t>Право заключения договора на выполнение работ по оценке технического состояния многоквартирного дома, разработке проектной документации на проведение капитального ремонта многоквартирных домов. 5МКД</t>
  </si>
  <si>
    <t>ООО "Технология"</t>
  </si>
  <si>
    <t>241037, Брянская область, г.
Брянск, Красноармейская ул, д.115,
помещение III</t>
  </si>
  <si>
    <t>доп. согл. По УСН 423072,16</t>
  </si>
  <si>
    <t>№80/2018 18.06.2018</t>
  </si>
  <si>
    <t>Право заключения договора на выполнение работ по оценке технического состояния многоквартирного дома, разработке проектной документации на проведение капитального ремонта многоквартирных домов. 1 МКД</t>
  </si>
  <si>
    <t>в течение 40 календарных дней</t>
  </si>
  <si>
    <t>доп. согл. По УСН 102607,08</t>
  </si>
  <si>
    <t>FKR11051800007</t>
  </si>
  <si>
    <t xml:space="preserve">Протокол проведения электронного аукциона 
 от 05.06.2018 года
 </t>
  </si>
  <si>
    <t>№86/2018 19.06.2018</t>
  </si>
  <si>
    <t>Право заключения договора на выполнение работ по оценке технического состояния многоквартирного дома, разработке проектной документации на проведение капитального ремонта многоквартирных домов. 2 МКД</t>
  </si>
  <si>
    <t>доп. согл. По УСН 207377,59</t>
  </si>
  <si>
    <t>FKR11051800009</t>
  </si>
  <si>
    <t>№84/2018 19.06.2018</t>
  </si>
  <si>
    <t>доп. согл. По УСН 235153,82</t>
  </si>
  <si>
    <t>FKR11051800010</t>
  </si>
  <si>
    <t>№85/2018 19.06.2018</t>
  </si>
  <si>
    <t>доп. согл. По УСН 524739,39</t>
  </si>
  <si>
    <t>FKR04051800010</t>
  </si>
  <si>
    <t>Протокол проведения электронного аукциона   FKR04051800010 от                 31 мая 2018 года</t>
  </si>
  <si>
    <t>№ 82/2018 от 19.06.2018</t>
  </si>
  <si>
    <t>Владимирская область, г. Гусь-Хрустальный, ул. Мезиновская, д.4.
- Владимирская область, г. Гусь-Хрустальный, ул. Димитрова, д.27/59 - капитальный ремонт крыш.</t>
  </si>
  <si>
    <t>доп. согл. По УСН 2930083,14</t>
  </si>
  <si>
    <t>20287000001180000042</t>
  </si>
  <si>
    <t>протокол рассмотрения заявок на участие в эл/аукционе от 08.06.2018 № 20287000001180000042</t>
  </si>
  <si>
    <t>№ 91/2018 от 20.06.2018</t>
  </si>
  <si>
    <t xml:space="preserve"> г. Радужный, 1-й квартал, д.3– капитальный ремонт фасада.</t>
  </si>
  <si>
    <t>20287000001180000043</t>
  </si>
  <si>
    <t>протокол рассмотрения заявок на участие в эл/аукционе от 08.06.2018 № 20287000001180000043</t>
  </si>
  <si>
    <t>№ 92/2018 от 20.06.2018</t>
  </si>
  <si>
    <t>Владимирская область, г. Ковров, пр-т Ленина, д.22 - капитальный ремонт крыши.</t>
  </si>
  <si>
    <t>20287000001180000044</t>
  </si>
  <si>
    <t>протокол рассмотрения заявок на участие в эл/аукционе от 08.06.2018 № 20287000001180000044</t>
  </si>
  <si>
    <t>№ 93/2018 от 20.06.2018</t>
  </si>
  <si>
    <t>Владимирская область,  г. Ковров, тер. Ковров-8, д.5 - капитальный ремонт крыши.</t>
  </si>
  <si>
    <t>202870000011800046</t>
  </si>
  <si>
    <t>протокол рассмотрения заявок на участие в эл/аукционе от 08.06.2018 № 202870000011800046</t>
  </si>
  <si>
    <t>№ 95/2018 от 26.06.2018</t>
  </si>
  <si>
    <t xml:space="preserve"> Владимирская область, г. Ковров, ул. Сосновая, д.16 - капитальный ремонт крыши.
</t>
  </si>
  <si>
    <t xml:space="preserve">доп. согл. По УСН  2073928,61        </t>
  </si>
  <si>
    <t>202870000011800040</t>
  </si>
  <si>
    <t>протокол рассмотрения заявок на участие в эл/аукционе от 08.06.2018 № 202870000011800040</t>
  </si>
  <si>
    <t>№ 90/2018 от 26.06.2018</t>
  </si>
  <si>
    <t>Владимирская область, г. Ковров, ул. Комиссарова, д.4-а .- капитальный ремонт крыши, - Владимирская область, г. Ковров, ул. Сосновая, д.30 - капитальный ремонт крыши.</t>
  </si>
  <si>
    <t xml:space="preserve">доп. согл. По УСН  2621271,49        </t>
  </si>
  <si>
    <t>202870000011800048</t>
  </si>
  <si>
    <t>протокол рассмотрения заявок на участие в эл/аукционе от 08.06.2018 № 202870000011800048</t>
  </si>
  <si>
    <t>№ 87/2018 от 26.06.2018</t>
  </si>
  <si>
    <t>Владимирская область, г. Ковров, пр-д Урожайный, д.4 - капитальный ремонт крыши.</t>
  </si>
  <si>
    <t xml:space="preserve">доп. согл. По УСН  1867094,1        </t>
  </si>
  <si>
    <t>202870000011800035</t>
  </si>
  <si>
    <t>протокол рассмотрения заявок на участие в эл/аукционе от 08.06.2018 № 202870000011800035</t>
  </si>
  <si>
    <t>№88/2018 26.06.2018</t>
  </si>
  <si>
    <t>Владимирская область, г. Владимир, ул. 1-ая Пионерская, д.57- капитальный ремонт фасада.</t>
  </si>
  <si>
    <t>доп. согл. По УСН 2023561,29</t>
  </si>
  <si>
    <t>202870000011800036</t>
  </si>
  <si>
    <t>протокол рассмотрения заявок на участие в эл/аукционе от 08.06.2018 № 202870000011800036</t>
  </si>
  <si>
    <t>№89/2018 26.06.2018</t>
  </si>
  <si>
    <t>Владимирская область, г. Владимир, ул. 1-ая Пионерская, д.67- капитальный ремонт фасада.</t>
  </si>
  <si>
    <t>доп. согл. По УСН 3259920,63</t>
  </si>
  <si>
    <t>202870000011800045</t>
  </si>
  <si>
    <t>протокол рассмотрения заявок на участие в эл/аукционе от 08.06.2018 № 202870000011800045</t>
  </si>
  <si>
    <t>№94/2018 27.06.2018</t>
  </si>
  <si>
    <t>Владимирская область, г. Гусь-Хрустальный, ул. Демократическая, д.6- капитальный ремонт крыши.</t>
  </si>
  <si>
    <t>доп. согл. По УСН 1464853,23</t>
  </si>
  <si>
    <t>п.193 Положения , утвержденного Постановлением Правительства РФ от 01.07.2016 №615</t>
  </si>
  <si>
    <t>№ 111/2018 /КЧС от 27.06.2018</t>
  </si>
  <si>
    <t>ООО "СТИМУЛ"</t>
  </si>
  <si>
    <t>г.Вязники, ул. Железнодорожная, д.6</t>
  </si>
  <si>
    <t>202870000011800055</t>
  </si>
  <si>
    <t>протокол рассмотрения заявок на участие в эл/аукционе от 08.06.2018 № 202870000011800055</t>
  </si>
  <si>
    <t>№99/2018 07.06.2018</t>
  </si>
  <si>
    <t>Владимирская область,  г. Муром, ул.Комсомольская, д.50 - капитальный ремонт крыши</t>
  </si>
  <si>
    <t>доп. согл. По УСН 2658903,97</t>
  </si>
  <si>
    <t>202870000011800052</t>
  </si>
  <si>
    <t>протокол рассмотрения заявок на участие в эл/аукционе от 18.06.2018 № 202870000011800052</t>
  </si>
  <si>
    <t>№ 106/2018 от 29.06.2018</t>
  </si>
  <si>
    <t>доп. согл. По УСН 728155,57</t>
  </si>
  <si>
    <t>202870000011800093</t>
  </si>
  <si>
    <t>Протокол  рассмотрения зявок на участие в электронном аукционе  реестровый номер от 22 июня 2018 года</t>
  </si>
  <si>
    <t>113/2018 от 04.07.2018</t>
  </si>
  <si>
    <t>Владимирская область, Гусь-Хрустальный р-н, 
п. Уршельский, Театральная, 34 - капитальный ремонт крыши.</t>
  </si>
  <si>
    <t>09.07.2018-10.09.2018</t>
  </si>
  <si>
    <t>202870000011800068</t>
  </si>
  <si>
    <t>Протокол  рассмотрения зявок на участие в электронном аукционе  реестровый номер от 18 июня 2018 года</t>
  </si>
  <si>
    <t>№ 102/2018 от 04.07.2018</t>
  </si>
  <si>
    <t>Владимирская область,  г.Владимир, ул. Усти-на-Лабе, д.31-а - капитальный ремонт крыши.</t>
  </si>
  <si>
    <t>06.07.2018-15.08.2018</t>
  </si>
  <si>
    <t>202870000011800099</t>
  </si>
  <si>
    <t>№ 117/2018 от 04.07.2018</t>
  </si>
  <si>
    <t>Владимирская область,  г.Владимир, ул. Лакина, д.175/33- капитальный ремонт крыши.</t>
  </si>
  <si>
    <t>11.07.2018-17.08.2018</t>
  </si>
  <si>
    <t>202870000011800070</t>
  </si>
  <si>
    <t>№ 103/2018 от 04.07.2018</t>
  </si>
  <si>
    <t>Владимирская область,  г.Владимир, ул.Молодежная д.4 - капитальный ремонт фасада.</t>
  </si>
  <si>
    <t>06.07.2018-01.09.2018</t>
  </si>
  <si>
    <t>202870000011800065</t>
  </si>
  <si>
    <t>№ 101/2018 от 04.07.2018</t>
  </si>
  <si>
    <t>Владимирская область,  г.Владимир, ул.Полины Осипенко, д.9 - капитальный ремонт фасада.</t>
  </si>
  <si>
    <t>06.07.2018-24.11.2018</t>
  </si>
  <si>
    <t>202870000011800110</t>
  </si>
  <si>
    <t>№121/2018 04.07.2018</t>
  </si>
  <si>
    <t>СМР пр проведении капитального ремонта крыши МКД - г. Муром, ул. Мичуринская, д.33</t>
  </si>
  <si>
    <t>12.07.2018-19.08.2018</t>
  </si>
  <si>
    <t>202870000011800086</t>
  </si>
  <si>
    <t>№105/2018 04.07.2018</t>
  </si>
  <si>
    <t>Владимирская область, г. Гусь-Хрустальный,                      ул. Дружбы Народов, д.6 - капитальный ремонт крыши.</t>
  </si>
  <si>
    <t>10.07.2018-15.08.2018</t>
  </si>
  <si>
    <t>202870000011800074</t>
  </si>
  <si>
    <t>№104/2018 05.07.2018</t>
  </si>
  <si>
    <t>Владимирская область, г. Гусь-Хрустальный,                      ул. Локомотивная, д.3 - капитальный ремонт крыши.</t>
  </si>
  <si>
    <t>12.07.-22.08.2018</t>
  </si>
  <si>
    <t>202870000011800069</t>
  </si>
  <si>
    <t>№100/2018 05.07.2018</t>
  </si>
  <si>
    <t>Владимирская область, г. Владимир, ул. Баумана, д.6 - капитальный ремонт крыши.</t>
  </si>
  <si>
    <t>06.07.-01.08.2018</t>
  </si>
  <si>
    <t>202870000011800058</t>
  </si>
  <si>
    <t>№107/2018 05.07.2018</t>
  </si>
  <si>
    <t>Владимирская область, г. Киржач, ул. 40 лет Октября, д.26 - капитальный ремонт крыши.</t>
  </si>
  <si>
    <t>10.07-14.09.2018</t>
  </si>
  <si>
    <t>ООО "СГ "Контур""</t>
  </si>
  <si>
    <t>п. Балакирево, Юго-Западный кв-л, д.7, кв.31</t>
  </si>
  <si>
    <t>202870000011800080</t>
  </si>
  <si>
    <t>№96/2018 05.07.2018</t>
  </si>
  <si>
    <t xml:space="preserve">Владимирская область,  г. Ковров, Набережная, 18 - капитальный ремонт крыши.
</t>
  </si>
  <si>
    <t>10.07-04.08.2018</t>
  </si>
  <si>
    <t>202870000011800057</t>
  </si>
  <si>
    <t>№98/2018 05.07.2018</t>
  </si>
  <si>
    <t xml:space="preserve">Владимирская область,  г. Ковров, пр-т Ленина, 32 - капитальный ремонт крыши.
</t>
  </si>
  <si>
    <t>10.07.-02.09.2018</t>
  </si>
  <si>
    <t>202870000011800077</t>
  </si>
  <si>
    <t>№97/2018 05.07.2018</t>
  </si>
  <si>
    <t xml:space="preserve">Владимирская область,  г. Ковров, Куйбышева, 13 - капитальный ремонт крыши.
</t>
  </si>
  <si>
    <t>10.07-15.08.2018</t>
  </si>
  <si>
    <t>202870000011800056</t>
  </si>
  <si>
    <t>Протокол  рассмотрения зявок на участие в электронном аукционе  реестровый номер от 21 июня 2018 года</t>
  </si>
  <si>
    <t>№ 109/2018 09.07.2018</t>
  </si>
  <si>
    <t xml:space="preserve">Владимирская область,  г. Гусь-Хрустальный, ул. Зеркальная, д.4 - капитальный ремонт крыши.
</t>
  </si>
  <si>
    <t>11.07.2018-30.08.2018</t>
  </si>
  <si>
    <t>202870000011800062</t>
  </si>
  <si>
    <t>№ 108/2018 09.07.2018</t>
  </si>
  <si>
    <t xml:space="preserve">Владимирская область,  г. Гусь-Хрустальный, ул. Зеркальная, д.10 - капитальный ремонт крыши.
</t>
  </si>
  <si>
    <t>11.07.2018-27.08.2018</t>
  </si>
  <si>
    <t>202870000011800132</t>
  </si>
  <si>
    <t>Протокол  рассмотрения зявок на участие в электронном аукционе  реестровый номер от 26 июня 2018 года</t>
  </si>
  <si>
    <t>№ 133/2018 09.07.2018</t>
  </si>
  <si>
    <t xml:space="preserve">Владимирская область,  г. Гусь-Хрустальный, ул. Демократическая, д.7 - капитальный ремонт крыши.
</t>
  </si>
  <si>
    <t>202870000011800075</t>
  </si>
  <si>
    <t>Протокол  рассмотрения зявок на участие в электронном аукционе  реестровый номер от 25 июня 2018 года</t>
  </si>
  <si>
    <t>№ 128/2018 09.07.2018</t>
  </si>
  <si>
    <t xml:space="preserve">Владимирская область,  г. Гусь-Хрустальный, ул. Зеркальная, д.7 - капитальный ремонт крыши.
</t>
  </si>
  <si>
    <t>16.07.2018-21.08.2018</t>
  </si>
  <si>
    <t>202870000011800095</t>
  </si>
  <si>
    <t>№ 115/2018 09.07.2018</t>
  </si>
  <si>
    <t>Право заключения договора на выполнение работ по разработке проектной документации на проведение капитального ремонта крыш, выполнение строительно-монтажных работ при проведении капитального ремонта крыш многоквартирных домов. 5 МКД Суздальский р-н</t>
  </si>
  <si>
    <t>22.09.2018-20.11.2018</t>
  </si>
  <si>
    <t>202870000011800085</t>
  </si>
  <si>
    <t>№ 129/2018 10.07.2018</t>
  </si>
  <si>
    <t xml:space="preserve">Владимирская область, г.Владимир, ул. Даргомыжского, д.14 - капитальный ремонт крыши.
</t>
  </si>
  <si>
    <t>11.07.2018-20.08.2018</t>
  </si>
  <si>
    <t>202870000011800061</t>
  </si>
  <si>
    <t>№ 110/2018 10.07.2018</t>
  </si>
  <si>
    <t xml:space="preserve">Владимирская область, Гусь-Хрустальный р-н, п. Гусевский, ул. Пионерская, д.16- капитальный ремонт крыши.
</t>
  </si>
  <si>
    <t>11.07.2018-31.08.2018</t>
  </si>
  <si>
    <t>202870000011800066</t>
  </si>
  <si>
    <t>№ 347/2017 11.07.2018</t>
  </si>
  <si>
    <t>Владимирская область,  г. Владимир, Дворянская, 15- капитальный ремонт фасада.</t>
  </si>
  <si>
    <t>16.07.2018-11.06.2019</t>
  </si>
  <si>
    <t>202870000011800122</t>
  </si>
  <si>
    <t>№ 125/2018 11.07.2018</t>
  </si>
  <si>
    <t xml:space="preserve">Владимирская область, Судогда, Бякова, 32 - капитальный ремонт крыши.
</t>
  </si>
  <si>
    <t>12.07.2018-08.09.2018</t>
  </si>
  <si>
    <t>202870000011800121</t>
  </si>
  <si>
    <t>№ 124/2018 11.07.2018</t>
  </si>
  <si>
    <t xml:space="preserve">Владимирская область, Судогда, Бякова, 26 - капитальный ремонт крыши.
</t>
  </si>
  <si>
    <t>12.07.2018-30.07.2018</t>
  </si>
  <si>
    <t>202870000011800101</t>
  </si>
  <si>
    <t>№ 118/2018 11.07.2018</t>
  </si>
  <si>
    <t xml:space="preserve">Владимирская область,  Собинка, Красноборская, 4А - капитальный ремонт крыши.
</t>
  </si>
  <si>
    <t>13.07.2018-16.09.2018</t>
  </si>
  <si>
    <t>№ 126/2018 11.07.2018</t>
  </si>
  <si>
    <t xml:space="preserve">Владимирская область,  Судогодский р-н, д. Ильино, Молодежная, 3 - капитальный ремонт крыши.
</t>
  </si>
  <si>
    <t>16.07.2018-05.09.2018</t>
  </si>
  <si>
    <t>202870000011800073</t>
  </si>
  <si>
    <t>№ 127/2018 11.07.2018</t>
  </si>
  <si>
    <t xml:space="preserve">Владимирская область,  Гусь-Хрустальный р-н, п.Уршельский, Театральная, 38 - капитальный ремонт крыши.
</t>
  </si>
  <si>
    <t>18.07.2018-17.09.2018</t>
  </si>
  <si>
    <t>202870000011800098</t>
  </si>
  <si>
    <t>№ 116/2018 11.07.2018</t>
  </si>
  <si>
    <t xml:space="preserve">Владимирская область,  Судогодский р-н, п. Муромцево, Комсомольская, 7 - капитальный ремонт крыши.
</t>
  </si>
  <si>
    <t>16.07.2018-30.08.2018</t>
  </si>
  <si>
    <t>202870000011800106</t>
  </si>
  <si>
    <t>№ 120/2018 11.07.2018</t>
  </si>
  <si>
    <t xml:space="preserve">Владимирская область,  Судогда, Пролетарская, 27 - капитальный ремонт крыши.
</t>
  </si>
  <si>
    <t>16.07.2018-26.08.2018</t>
  </si>
  <si>
    <t>202870000011800094</t>
  </si>
  <si>
    <t>№ 114/2018 11.07.2018</t>
  </si>
  <si>
    <t xml:space="preserve">Владимирская область,  Гусь-Хрустальный, Ленинградская, 6 - капитальный ремонт крыши.
</t>
  </si>
  <si>
    <t>12.07.2018-17.08.2018</t>
  </si>
  <si>
    <t>202870000011800105</t>
  </si>
  <si>
    <t>№ 119/2018 11.07.2018</t>
  </si>
  <si>
    <t xml:space="preserve">Владимирская область,  Гусь-Хрустальный р-н, п. Гусевский, Октябрьская, 4- капитальный ремонт крыши.
</t>
  </si>
  <si>
    <t>12.07.2018-26.08.2018</t>
  </si>
  <si>
    <t>202870000011800076</t>
  </si>
  <si>
    <t>№ 130/2018 12.07.2018</t>
  </si>
  <si>
    <t xml:space="preserve">Владимирская область, Гусь-Хрустальный р-н, п. Гусевский, ул. Южная, 13-а - капитальный ремонт крыши.
</t>
  </si>
  <si>
    <t>15.07.2018-14.08.2018</t>
  </si>
  <si>
    <t>202870000011800155</t>
  </si>
  <si>
    <t>Протокол  рассмотрения зявок на участие в электронном аукционе  реестровый номер от 29 июня 2018 года</t>
  </si>
  <si>
    <t>№ 139/2018 12.07.2018</t>
  </si>
  <si>
    <t xml:space="preserve">Владимирская область, Муромский р-н, п. Зименки, Мира, 8 - капитальный ремонт крыши.
</t>
  </si>
  <si>
    <t>16.07.2018-29.08.2018</t>
  </si>
  <si>
    <t>202870000011800154</t>
  </si>
  <si>
    <t>№ 141/2018 12.07.2018</t>
  </si>
  <si>
    <t xml:space="preserve">Владимирская область, г. Муром, Московская, 106 - капитальный ремонт крыши.
</t>
  </si>
  <si>
    <t>16.07.2018-17.08.2018</t>
  </si>
  <si>
    <t>202870000011800153</t>
  </si>
  <si>
    <t>№ 142/2018 12.07.2018</t>
  </si>
  <si>
    <t xml:space="preserve">Владимирская область, г. Муром, Куликова, 1 - капитальный ремонт крыши.
</t>
  </si>
  <si>
    <t>202870000011800135</t>
  </si>
  <si>
    <t>№ 136/2018 11.07.2018</t>
  </si>
  <si>
    <t xml:space="preserve">Владимирская область,  Судогодский р-н, п. Муромцево, Комсомольская, 2 - капитальный ремонт крыши.
</t>
  </si>
  <si>
    <t>17.07.2018-16.08.2018</t>
  </si>
  <si>
    <t>202870000011800134</t>
  </si>
  <si>
    <t>№ 135/2018 13.07.2018</t>
  </si>
  <si>
    <t xml:space="preserve">Владимирская область, Гусь-Хрустальный р-н, п. Гусевский, Пионерская, 14 - капитальный ремонт крыши.
</t>
  </si>
  <si>
    <t>14.07.2018-15.09.2018</t>
  </si>
  <si>
    <t>202870000011800078</t>
  </si>
  <si>
    <t>№ 131/2018 13.07.2018</t>
  </si>
  <si>
    <t xml:space="preserve">Владимирская область, Гусь-Хрустальный р-н, п. Гусевский, Садовая, 1/6 - капитальный ремонт крыши.
</t>
  </si>
  <si>
    <t>15.07.2018-09.09.2018</t>
  </si>
  <si>
    <t>202870000011800136</t>
  </si>
  <si>
    <t>№ 137/2018 13.07.2018</t>
  </si>
  <si>
    <t xml:space="preserve">Владимирская область,  Гусь-Хрустальный, Плеханова, 4 - капитальный ремонт крыши.
</t>
  </si>
  <si>
    <t>15.07.2018-31.08.2018</t>
  </si>
  <si>
    <t>202870000011800092</t>
  </si>
  <si>
    <t>№ 112/2018 13.07.2018</t>
  </si>
  <si>
    <t xml:space="preserve">Владимирская область, Гусь-Хрустальный р-н, п. Гусевский, Октябрьская, 2 - капитальный ремонт крыши.
</t>
  </si>
  <si>
    <t>16.07.2018-02.09.2018</t>
  </si>
  <si>
    <t>202870000011800133</t>
  </si>
  <si>
    <t>№ 134/2018 13.07.2018</t>
  </si>
  <si>
    <t>Владимирская область, г. Гусь-Хрустальный, ул. Демократическая, д.4- капитальный ремонт крыши.</t>
  </si>
  <si>
    <t>23.07.2018-02.09.2018</t>
  </si>
  <si>
    <t>202870000011800145</t>
  </si>
  <si>
    <t>№ 138/2018 13.07.2018</t>
  </si>
  <si>
    <t>Выполнение работ по оценке тех.состояния МКД, разработке ПСД на ремонт ВИС 5 МКД.</t>
  </si>
  <si>
    <t>202870000011800146</t>
  </si>
  <si>
    <t>№ 132/2018 13.07.2018</t>
  </si>
  <si>
    <t>Право заключения договора на выполнение работ по разработке проектной документации на проведение капитального ремонта крыш, выполнение строительно-монтажных работ при проведении капитального ремонта крыш многоквартирных домов. 4 МКД</t>
  </si>
  <si>
    <t>26.09.2018-23.12.2018</t>
  </si>
  <si>
    <t>202870000011800172</t>
  </si>
  <si>
    <t>№ 147/2018 18.07.2018</t>
  </si>
  <si>
    <t>Владимирская область, Петушинский р-н, д. Новое Аннино, ул. Центральная, д.5.- капитальный ремонт крыши.</t>
  </si>
  <si>
    <t>доп. согл. По УСН 1845307,05</t>
  </si>
  <si>
    <t>202870000011800116</t>
  </si>
  <si>
    <t>протокол рассмотрения заявок на участие в эл/аукционе от 28.07.2018 № 202870000011800116</t>
  </si>
  <si>
    <t>№ 122/2018 от 16.07.2018</t>
  </si>
  <si>
    <t>доп. согл. По УСН 205661,12</t>
  </si>
  <si>
    <t>202870000011800182</t>
  </si>
  <si>
    <t>№ 146/2018 18.07.2018</t>
  </si>
  <si>
    <t>Александровский р-н, г. Карабаново, ул. Мира, д.6.- капитальный ремонт крыши</t>
  </si>
  <si>
    <t>доп. согл. По УСН 2624647,14</t>
  </si>
  <si>
    <t>202870000011800117</t>
  </si>
  <si>
    <t>Протокол  рассмотрения зявок на участие в электронном аукционе  реестровый номер от 28 июня 2018 года</t>
  </si>
  <si>
    <t>№123/2018 16.07.2018</t>
  </si>
  <si>
    <t>Владимирская область, г. Александров, ул. Новые Коноплянники, д.1 - капитальный ремонт крыши.</t>
  </si>
  <si>
    <t>доп. согл. По УСН 1792767,34</t>
  </si>
  <si>
    <t>202870000011800181</t>
  </si>
  <si>
    <t>№ 144/2018 18.07.2018</t>
  </si>
  <si>
    <t xml:space="preserve">Владимирская область, г. Меленки, ул. 60 лет Октября, д.25..- капитальный ремонт крыши
</t>
  </si>
  <si>
    <t>доп. согл. По УСН 1804992,59</t>
  </si>
  <si>
    <t>202870000011800180</t>
  </si>
  <si>
    <t>№145/2018 16.07.2018</t>
  </si>
  <si>
    <t>г. Александров, ул. Комсомольский пос., д.53 .- капитальный ремонт крыши</t>
  </si>
  <si>
    <t>доп. согл. По УСН 1998165,52</t>
  </si>
  <si>
    <t>202870000011800150</t>
  </si>
  <si>
    <t>№ 143/2018 от 18.07.2018</t>
  </si>
  <si>
    <t>выполнение работ по оценке технического состояния, разработке проектной документации на проведение капитального ремонта крыши многоквартирного дома, являющегося объектом культурного наследия, выявленным объектом культурного наследия, в том числе на ремонт (замену) лифтового оборудования многоквартирных домов. 3 МКД</t>
  </si>
  <si>
    <t>202870000011800156</t>
  </si>
  <si>
    <t>№ 140/2018 18.07.2018</t>
  </si>
  <si>
    <t>Владимирская область, г. Александров, ул. Институтская, д.16 - капитальный ремонт крыши</t>
  </si>
  <si>
    <t>доп. согл. По УСН 1712299,53</t>
  </si>
  <si>
    <t>202870000011800192</t>
  </si>
  <si>
    <t>Протокол  рассмотрения зявок на участие в электронном аукционе  реестровый номер от 04 июля 2018 года</t>
  </si>
  <si>
    <t>№ 148/2018 13.07.2018</t>
  </si>
  <si>
    <t>Право заключения договора на выполнение работ по разработке проектной документации на проведение капитального ремонта крыш, выполнение строительно-монтажных работ при проведении капитального ремонта крыш многоквартирных домов. 5 МКД</t>
  </si>
  <si>
    <t>202870000011800226</t>
  </si>
  <si>
    <t>протокол рассмотрения заявок на участие в эл/аукционе от 12.07.2018 № 202870000011800226</t>
  </si>
  <si>
    <t>№ 151/2018 от 30.07.2018</t>
  </si>
  <si>
    <t>Владимирская область, г. Ковров, ул. Волго-Донская, д.10, корп. 1 - капитальный ремонт крыши.</t>
  </si>
  <si>
    <t>202870000011800230</t>
  </si>
  <si>
    <t>протокол рассмотрения заявок на участие в эл/аукционе от 12.07.2018 № 202870000011800230</t>
  </si>
  <si>
    <t>№ 153/2018 30.07.2018</t>
  </si>
  <si>
    <t xml:space="preserve">Владимирская область, г. Радужный, кв-л 9, д. 6/2 - капитальный ремонт крыши.
</t>
  </si>
  <si>
    <t>доп. согл. По УСН 1199948,47</t>
  </si>
  <si>
    <t>202870000011800231</t>
  </si>
  <si>
    <t>№ 152/2018 30.07.2018</t>
  </si>
  <si>
    <t xml:space="preserve">Владимирская область, г. Радужный, кв-л 9, д.6/1 - капитальный ремонт крыши.
</t>
  </si>
  <si>
    <t>доп. согл. По УСН 1194666,92</t>
  </si>
  <si>
    <t>202870000011800196</t>
  </si>
  <si>
    <t>протокол рассмотрения заявок на участие в эл/аукционе от 04.07.2018 № 202870000011800196</t>
  </si>
  <si>
    <t>№ 149/2018 23.07.2018</t>
  </si>
  <si>
    <t xml:space="preserve">Владимирская область, Гусь-Хрустальный р-н, п. Гусевский, ул. Интернациональная, д.4-капитальный ремонт крыши.
</t>
  </si>
  <si>
    <t>доп. согл. По УСН 1832819,91</t>
  </si>
  <si>
    <t>202870000011800225</t>
  </si>
  <si>
    <t>протокол рассмотрения заявок на участие в эл/аукционе от 12.07.2018 № 202870000011800225</t>
  </si>
  <si>
    <t>№ 150/2018 от 30.07.2018</t>
  </si>
  <si>
    <t>Выполнение работ по оценке тех.состояния МКД, разработке ПСД. 1 МКД</t>
  </si>
  <si>
    <t>доп. согл. По УСН 108963,97</t>
  </si>
  <si>
    <t>202870000011800227</t>
  </si>
  <si>
    <t>протокол рассмотрения заявок на участие в эл/аукционе от 12.07.2018 № 202870000011800227</t>
  </si>
  <si>
    <t>№ 154/2018 от 30.07.2018</t>
  </si>
  <si>
    <t>Владимирская область, г. Камешково, ул. Молодежная, д.11. - капитальный ремонт внутридомовых инженерных систем теплоснабжения, холодного водоснабжения, водоотведения.</t>
  </si>
  <si>
    <t>доп. согл. По УСН 5304814,11</t>
  </si>
  <si>
    <t>202870000011800232</t>
  </si>
  <si>
    <t>Протокол  рассмотрения зявок на участие в электронном аукционе  реестровый номер от 12 июля 2018 года</t>
  </si>
  <si>
    <t>№ 155/2018 31.07.2018</t>
  </si>
  <si>
    <t xml:space="preserve">Владимирская область, г. Муром, Радиозаводское шоссе, д.36- капитальный ремонт крыши
</t>
  </si>
  <si>
    <t>доп. согл. По УСН 7911962,28</t>
  </si>
  <si>
    <t>202870000011800209</t>
  </si>
  <si>
    <t>протокол рассмотрения заявок на участие в эл/аукционе от 09.07.2018 № 202870000011800209</t>
  </si>
  <si>
    <t>№ 348/2017 от 27.07.2018</t>
  </si>
  <si>
    <t>Владимирская область, г. Ковров, ул. Социалистическая, д. 4-а - капитальный ремонт внутридомовых инженерных систем холодного водоснабжения, горячего водоснабжения, электроснабжения.</t>
  </si>
  <si>
    <t>доп. согл. По УСН 846588,81</t>
  </si>
  <si>
    <t>202870000011800222</t>
  </si>
  <si>
    <t>№ 349/2017 31.07.2018</t>
  </si>
  <si>
    <t>Владимирская область, г. Гусь-Хрустальный, ул. Добролюбова, д.8 -капитальный ремонт внутридомовых инженерных систем теплоснабжения, водоотведения, холодного водоснабжения, электроснабжения.</t>
  </si>
  <si>
    <t>доп. согл. По УСН 1626324,73</t>
  </si>
  <si>
    <t>202870000011800242</t>
  </si>
  <si>
    <t>№ 156/2018 31.07.2018</t>
  </si>
  <si>
    <t>Право заключения договора на выполнение работ по разработке проектной документации на проведение капитального ремонта крыш, выполнение строительно-монтажных работ при проведении капитального ремонта крыш многоквартирных домов. 3 МКД</t>
  </si>
  <si>
    <t>202870000011800247</t>
  </si>
  <si>
    <t>протокол рассмотрения заявок на участие в эл/аукционе от 17.07.2018 № 202870000011800247</t>
  </si>
  <si>
    <t>№ 160/2018 от 27.07.2018</t>
  </si>
  <si>
    <t>Владимирская область, г. Ковров, ул. Барсукова, д.17 - капитальный ремонт крыши.</t>
  </si>
  <si>
    <t>202870000011800244</t>
  </si>
  <si>
    <t>протокол рассмотрения заявок на участие в эл/аукционе от 17.07.2018 № 202870000011800244</t>
  </si>
  <si>
    <t>№ 162/2018 от 02.08.2018</t>
  </si>
  <si>
    <t>доп. согл. По УСН 78889,67</t>
  </si>
  <si>
    <t>202870000011800249</t>
  </si>
  <si>
    <t>Протокол  рассмотрения зявок на участие в электронном аукционе  реестровый номер от 17 июля 2018 года</t>
  </si>
  <si>
    <t>№ 159/2018 02.08.2018</t>
  </si>
  <si>
    <t xml:space="preserve">Владимирская область, г. Муром, ул. Льва Толстого, д.111 - капитальный ремонт крыши.
</t>
  </si>
  <si>
    <t>доп. согл. По УСН 3236924,56</t>
  </si>
  <si>
    <t>202870000011800269</t>
  </si>
  <si>
    <t>Протокол  рассмотрения зявок на участие в электронном аукционе  реестровый номер от 23 июля 2018 года</t>
  </si>
  <si>
    <t>№ 167/2018 03.08.2018</t>
  </si>
  <si>
    <t>Владимирская область, г. Муром, ул. Красногвардейская, д.8-а - капитальный ремонт крыши</t>
  </si>
  <si>
    <t>доп. согл. По УСН 963520,46</t>
  </si>
  <si>
    <t>202870000011800246</t>
  </si>
  <si>
    <t>№161/2018 03.08.2018</t>
  </si>
  <si>
    <t xml:space="preserve">г. Ковров, ул. Олега Кошевого, д.2 - капитальный ремонт крыши, - г. Ковров, ул. Фрунзе, д.15 - капитальный ремонт крыши, - г. Ковров, ул. Фрунзе, д.19- капитальный ремонт крыши
</t>
  </si>
  <si>
    <t xml:space="preserve">доп. согл. По УСН  2438392,59        </t>
  </si>
  <si>
    <t>202870000011800256</t>
  </si>
  <si>
    <t>№158/2018 03.08.2018</t>
  </si>
  <si>
    <t>Владимирская область, г. Владимир, ул. Стасова, д.5/2 - капитальный ремонт крыши.</t>
  </si>
  <si>
    <t xml:space="preserve">доп. согл. По УСН  895017,66        </t>
  </si>
  <si>
    <t>202870000011800221</t>
  </si>
  <si>
    <t>протокол рассмотрения заявок на участие в эл/аукционе от 16.07.2018 № 202870000011800221</t>
  </si>
  <si>
    <t>№ 164/2018 от 03.08.2018</t>
  </si>
  <si>
    <t>Выполнение работ по оценке тех.состояния МКД, разработке ПСД на ремонт фасада 1 МКД.</t>
  </si>
  <si>
    <t>доп. согл. По УСН 59889,96</t>
  </si>
  <si>
    <t>202870000011800278</t>
  </si>
  <si>
    <t>№ 165/2018 от 06.08.2018</t>
  </si>
  <si>
    <t>Владимирская область, г. Собинка, ул. Чайковского, д.2- капитальный ремонт крыши.</t>
  </si>
  <si>
    <t>доп. согл. По УСН 3510685,61</t>
  </si>
  <si>
    <t>202870000011800238</t>
  </si>
  <si>
    <t>Протокол  рассмотрения зявок на участие в электронном аукционе  реестровый номер от 16июля 2018 года</t>
  </si>
  <si>
    <t>№ 163/2018 от 06.08.2018</t>
  </si>
  <si>
    <t xml:space="preserve">Владимирская область, г. Собинка, ул. Гоголя, д.3-а - капитальный ремонт крыши.
</t>
  </si>
  <si>
    <t>доп. согл. По УСН 3623056</t>
  </si>
  <si>
    <t>202870000011800274</t>
  </si>
  <si>
    <t>№ 350/2017 от 08.08.2018</t>
  </si>
  <si>
    <t>Владимирская область, г. Владимир, ул. Горького, д.74 - капитальный ремонт фасада.</t>
  </si>
  <si>
    <t>доп. согл. По УСН 2689480,41</t>
  </si>
  <si>
    <t>202870000011800300</t>
  </si>
  <si>
    <t>Протокол  рассмотрения зявок на участие в электронном аукционе  реестровый номер от 27 июля 2018 года</t>
  </si>
  <si>
    <t>№ 175/2018 от 08.08.2018</t>
  </si>
  <si>
    <t>Выполнение работ по оценке тех.состояния МКД, разработке ПСД на ремонт лифтового оборудования 4 МКД.</t>
  </si>
  <si>
    <t>202870000011800298</t>
  </si>
  <si>
    <t>протокол рассмотрения заявок на участие в эл/аукционе от 30.07.2018 № 202870000011800298</t>
  </si>
  <si>
    <t>№ 180/2018 от 10.08.2018</t>
  </si>
  <si>
    <t>доп. согл. По УСН 69672,93</t>
  </si>
  <si>
    <t>202870000011800309</t>
  </si>
  <si>
    <t>протокол рассмотрения заявок на участие в эл/аукционе от 30.07.2018 № 202870000011800309</t>
  </si>
  <si>
    <t>№ 176/2018 от 10.08.2018</t>
  </si>
  <si>
    <t>доп. согл. По УСН 49227,39</t>
  </si>
  <si>
    <t>202870000011800289</t>
  </si>
  <si>
    <t>протокол рассмотрения заявок на участие в эл/аукционе от 25.07.2018 № 202870000011800247</t>
  </si>
  <si>
    <t>№ 173/2018 от 10.08.2018</t>
  </si>
  <si>
    <t>право заключения договора на выполнение работ по разработке проектной документации на проведение капитального ремонта, выполнение строительно-монтажных работ при проведении капитального ремонта крыши многоквартирного дома, расположенного по адресу Владимирская область, Ковровский район, п. Мелехово, ул. Юбилейная, д. 1</t>
  </si>
  <si>
    <t>202870000011800290</t>
  </si>
  <si>
    <t>Протокол  рассмотрения зявок на участие в электронном аукционе  реестровый номер от 25 июля 2018 года</t>
  </si>
  <si>
    <t>№ 168/2018 от 10.08.2018</t>
  </si>
  <si>
    <t>Владимирская область, г. Собинка, ул. Чайковского, д.5 - капитальный ремонт крыши.</t>
  </si>
  <si>
    <t>доп. согл. По УСН 3925982,68</t>
  </si>
  <si>
    <t>202870000011800304</t>
  </si>
  <si>
    <t>протокол рассмотрения заявок на участие в эл/аукционе от 30.07.2018 № 202870000011800304</t>
  </si>
  <si>
    <t>№ 178/2018 от 10.08.2018</t>
  </si>
  <si>
    <t xml:space="preserve"> Владимирская область, г. Ковров, ул. Волго-Донская, д.14, корп. 2 - капитальный ремонт фасада</t>
  </si>
  <si>
    <t>202870000011800303</t>
  </si>
  <si>
    <t>протокол рассмотрения заявок на участие в эл/аукционе от 30.07.2018 № 202870000011800303</t>
  </si>
  <si>
    <t>№ 179/2018 от 10.08.2018</t>
  </si>
  <si>
    <t xml:space="preserve"> Владимирская область, г. Ковров, ул. Молодогвардейская, д.1, корп. 16 - капитальный ремонт фасада.</t>
  </si>
  <si>
    <t>202870000011800286</t>
  </si>
  <si>
    <t>протокол рассмотрения заявок на участие в эл/аукционе от 25.07.2018 № 202870000011800286</t>
  </si>
  <si>
    <t>№ 171/2018 от 10.08.2018</t>
  </si>
  <si>
    <t>Владимирская область, г. Киржач, ул. Свобода, д. 115- капитальный ремонт крыши</t>
  </si>
  <si>
    <t>ООО "БАСТИОН ПЛЮС"</t>
  </si>
  <si>
    <t>Нальчик г, Кабардинская ул, 19, оф. 5</t>
  </si>
  <si>
    <t>202870000011800285</t>
  </si>
  <si>
    <t>протокол рассмотрения заявок на участие в эл/аукционе от 25.07.2018 № 202870000011800285</t>
  </si>
  <si>
    <t>№ 172/2018 от 10.08.2018</t>
  </si>
  <si>
    <t>Владимирская область, г. Киржач, ул. Гайдара, д. 30- капитальный ремонт крыши.</t>
  </si>
  <si>
    <t>202870000011800297</t>
  </si>
  <si>
    <t>протокол рассмотрения заявок на участие в эл/аукционе от 27.07.2018 № 202870000011800297</t>
  </si>
  <si>
    <t>№ 174/2018 от 10.08.2018</t>
  </si>
  <si>
    <t xml:space="preserve">  Владимирская область, г. Киржач, мкр. Красный Октябрь, кв-л Южный, д. 4- капитальный ремонт крыши.</t>
  </si>
  <si>
    <t>202870000011800292</t>
  </si>
  <si>
    <t>№169/2018 13.08.2018</t>
  </si>
  <si>
    <t>Владимирская область, г. Владимир, ул. Асаткина, д.25- капитальный ремонт крыши.</t>
  </si>
  <si>
    <t>202870000011800287</t>
  </si>
  <si>
    <t>№170/2018 13.08.2018</t>
  </si>
  <si>
    <t>Владимирская область, г. Владимир, пр-т Ленина, д.14- капитальный ремонт крыши.</t>
  </si>
  <si>
    <t>202870000011800302</t>
  </si>
  <si>
    <t>Протокол  рассмотрения зявок на участие в электронном аукционе  реестровый номер от 30 июля 2018 года</t>
  </si>
  <si>
    <t>Владимирская область, г. Владимир, ул. Асаткина, д.29- капитальный ремонт крыши</t>
  </si>
  <si>
    <t>№177/2018 14.08.2018</t>
  </si>
  <si>
    <t>202870000011800299</t>
  </si>
  <si>
    <t>№ 181/2018 от 17.08.2018</t>
  </si>
  <si>
    <t>Право заключения договора на выполнение строительно-монтажных работ при проведении капитального ремонта (замены) лифтового оборудования в многоквартирных домах. 3 МКД</t>
  </si>
  <si>
    <t>202870000011800316</t>
  </si>
  <si>
    <t>протокол рассмотрения заявок на участие в эл/аукционе от 02.08.2018 № 202870000011800316</t>
  </si>
  <si>
    <t>№ 186/2018 от 14.08.2018</t>
  </si>
  <si>
    <t>Владимирская область, г. Александров, ул. Ческа-Липа, д. 2 - капитальный ремонт крыши</t>
  </si>
  <si>
    <t>202870000011800315</t>
  </si>
  <si>
    <t>протокол рассмотрения заявок на участие в эл/аукционе от 02.08.2018 № 202870000011800315</t>
  </si>
  <si>
    <t>№ 185/2018 от 14.08.2018</t>
  </si>
  <si>
    <t>Владимирская область, г. Александров, ул. Лермонтова, д.10.- капитальный ремонт крыши</t>
  </si>
  <si>
    <t>202870000011800314</t>
  </si>
  <si>
    <t>протокол рассмотрения заявок на участие в эл/аукционе от 02.08.2018 № 202870000011800314</t>
  </si>
  <si>
    <t>№ 184/2018 от 14.08.2018</t>
  </si>
  <si>
    <t xml:space="preserve"> Владимирская область, г. Александров, ул. Маяковского, д.5. - капитальный ремонт крыши.</t>
  </si>
  <si>
    <t>202870000011800313</t>
  </si>
  <si>
    <t>протокол рассмотрения заявок на участие в эл/аукционе от 02.08.2018 № 202870000011800313</t>
  </si>
  <si>
    <t>№ 183/2018 от 14.08.2018</t>
  </si>
  <si>
    <t>Владимирская область, г. Александров, ул. Маяковского, д.24. - капитальный ремонт крыши.</t>
  </si>
  <si>
    <t>202870000011800378</t>
  </si>
  <si>
    <t>Протокол  рассмотрения зявок на участие в электронном аукционе  реестровый номер от 09 августа 2018 года</t>
  </si>
  <si>
    <t>№192/2018 21.08.2018</t>
  </si>
  <si>
    <t>Владимирская область, г. Гусь-Хрустальный, ул. Демократическая, д.8.-капитальный ремонт крыши.</t>
  </si>
  <si>
    <t>доп. согл. По УСН 1440787,59</t>
  </si>
  <si>
    <t>202870000011800331</t>
  </si>
  <si>
    <t>Протокол  рассмотрения зявок на участие в электронном аукционе  реестровый номер от 02 августа 2018 года</t>
  </si>
  <si>
    <t>№ 189/2018 21.08.2018</t>
  </si>
  <si>
    <t>Владимирская область, г. Петушки, пл. Советская, д.9.- капитальный ремонт крыши.</t>
  </si>
  <si>
    <t xml:space="preserve"> 10.07.2018</t>
  </si>
  <si>
    <t>ООО "Орбита"</t>
  </si>
  <si>
    <t>Владимир, ул. Чайковского, д.21а, оф.52</t>
  </si>
  <si>
    <t>202870000011800323</t>
  </si>
  <si>
    <t>№ 188/2018 21.08.2018</t>
  </si>
  <si>
    <t xml:space="preserve">Владимирская область, г. Владимир, ул. Горького, д.115 - капитальный ремонт крыши
</t>
  </si>
  <si>
    <t>доп. согл. По УСН 1746517,61</t>
  </si>
  <si>
    <t>202870000011800318</t>
  </si>
  <si>
    <t>№ 187/2018 21.08.2018</t>
  </si>
  <si>
    <t xml:space="preserve"> Владимирская область, г. Владимир, ул. Чайковского, д.46 - капитальный ремонт крыши.</t>
  </si>
  <si>
    <t>доп. согл. По УСН 1944235,16</t>
  </si>
  <si>
    <t>202870000011800328</t>
  </si>
  <si>
    <t>№ 182/2018 11.07.2018</t>
  </si>
  <si>
    <t>Владимирская область, г. Судогда, ул. Ленина, д.7.- капитальный ремонт крыши.</t>
  </si>
  <si>
    <t>332400472150</t>
  </si>
  <si>
    <t>доп. согл. По УСН 818324,37</t>
  </si>
  <si>
    <t>202870000011800401</t>
  </si>
  <si>
    <t>Протокол  рассмотрения зявок на участие в электронном аукционе  реестровый номер от 14 августа 2018 года</t>
  </si>
  <si>
    <t>№ 1/2019 от 27.08.2018</t>
  </si>
  <si>
    <t>Выполнение работ по оценке тех.состояния МКД, разработке ПСД на ремонт лифтового оборудования 23 МКД.</t>
  </si>
  <si>
    <t>202870000011800351</t>
  </si>
  <si>
    <t>№ 206/2018 11.07.2018</t>
  </si>
  <si>
    <t xml:space="preserve">Владимирская область, г. Владимир, ул. Василисина, д. 10 - капитальный ремонт крыши.
</t>
  </si>
  <si>
    <t>202870000011800402</t>
  </si>
  <si>
    <t>№ 197/2018 28.08.2018</t>
  </si>
  <si>
    <t xml:space="preserve">Владимирская область, г. Муром, ул. Орловская, д.5 - капитальный ремонт крыши.
</t>
  </si>
  <si>
    <t>доп. согл. По УСН 4297969,78</t>
  </si>
  <si>
    <t>202870000011800376</t>
  </si>
  <si>
    <t>№ 190/2018 28.08.2018</t>
  </si>
  <si>
    <t xml:space="preserve">Владимирская область, Собинский р-н, п. Ставрово, ул. Советская, д.94.-капитальный ремонт крыши.
</t>
  </si>
  <si>
    <t>доп. согл. По УСН 1911309,69</t>
  </si>
  <si>
    <t>202870000011800377</t>
  </si>
  <si>
    <t>№ 191/2018 28.08.2018</t>
  </si>
  <si>
    <t>Владимирская область, Собинский р-н, п. Ставрово, ул. Советская, д.92.-капитальный ремонт крыши.</t>
  </si>
  <si>
    <t>202870000011800365</t>
  </si>
  <si>
    <t>№ 195/2018 28.08.2018</t>
  </si>
  <si>
    <t>Владимирская область, г. Владимир, ул. Чайковского, д. 52 - капитальный ремонт крыши.</t>
  </si>
  <si>
    <t>доп. согл. По УСН 2020477,6</t>
  </si>
  <si>
    <t>202870000011800360</t>
  </si>
  <si>
    <t>№ 194/2018 28.08.2018</t>
  </si>
  <si>
    <t xml:space="preserve">Владимирская область, г. Владимир, ул. Лакина, д.191Б. - капитальный ремонт крыши.
</t>
  </si>
  <si>
    <t>доп. согл. По УСН 1612467,62</t>
  </si>
  <si>
    <t>202870000011800379</t>
  </si>
  <si>
    <t>№ 193/2018 28.08.2018</t>
  </si>
  <si>
    <t xml:space="preserve"> Владимирская область, Судогодский р-н, п. Бег, ул. Октябрьская, д.21-капитальный ремонт крыши
</t>
  </si>
  <si>
    <t>доп. согл. По УСН 1565938,85</t>
  </si>
  <si>
    <t>202870000011800394</t>
  </si>
  <si>
    <t>протокол рассмотрения заявок на участие в эл/аукционе от 30.07.2018 № 202870000011800394</t>
  </si>
  <si>
    <t>№ 198/2018 от 31.08.2018</t>
  </si>
  <si>
    <t>доп. согл. По УСН 44993,63</t>
  </si>
  <si>
    <t>202870000011800413</t>
  </si>
  <si>
    <t>протокол рассмотрения заявок на участие в эл/аукционе от 14.08.2018 № 202870000011800413</t>
  </si>
  <si>
    <t>№ 199/2018 31.08.2018</t>
  </si>
  <si>
    <t xml:space="preserve">Владимирская область, г. Петушки, пр-д Покровский, д.17- капитальный ремонт крыши.
</t>
  </si>
  <si>
    <t>доп. согл. По УСН 2184744,58</t>
  </si>
  <si>
    <t>202870000011800411</t>
  </si>
  <si>
    <t>протокол рассмотрения заявок на участие в эл/аукционе от 14.08.2018 № 202870000011800411</t>
  </si>
  <si>
    <t>№ 200/2018 31.08.2018</t>
  </si>
  <si>
    <t xml:space="preserve">Владимирская область, г. Петушки, ул. Профсоюзная, д.12 - капитальный ремонт крыши.
</t>
  </si>
  <si>
    <t>доп. согл. По УСН 2211840,2</t>
  </si>
  <si>
    <t>202870000011800440</t>
  </si>
  <si>
    <t>Протокол  рассмотрения зявок на участие в электронном аукционе  реестровый номер от 24 августа 2018 года</t>
  </si>
  <si>
    <t>№ 213/2018 от 03.09.2018</t>
  </si>
  <si>
    <t>Владимирская область, г. Суздаль, ул. Гоголя, д.19- капитальный ремонт крыши.</t>
  </si>
  <si>
    <t>доп. согл. По УСН 2501453,26</t>
  </si>
  <si>
    <t>202870000011800420</t>
  </si>
  <si>
    <t>№ 201/2018 03.09.2018</t>
  </si>
  <si>
    <t xml:space="preserve">Владимирская область, г. Радужный, кв-л 9, д. 4 - капитальный ремонт крыши.
</t>
  </si>
  <si>
    <t>доп. согл. По УСН 1652248,79</t>
  </si>
  <si>
    <t>202870000011800422</t>
  </si>
  <si>
    <t>протокол рассмотрения заявок на участие в эл/аукционе от 20.08.2018 № 202870000011800422</t>
  </si>
  <si>
    <t>№ 2/2019 от 05.09.2018</t>
  </si>
  <si>
    <t>Выполнение работ по оценке тех.состояния МКД, разработке ПСД на ремонт крыш 7 МКД.</t>
  </si>
  <si>
    <t>доп. согл. По УСН 412496,68</t>
  </si>
  <si>
    <t>202870000011800423</t>
  </si>
  <si>
    <t>протокол рассмотрения заявок на участие в эл/аукционе от 20.08.2018 № 202870000011800423</t>
  </si>
  <si>
    <t>№ 3/2019 от 05.09.2018</t>
  </si>
  <si>
    <t>доп. согл. По УСН 404411,03</t>
  </si>
  <si>
    <t>202870000011800426</t>
  </si>
  <si>
    <t>№ 4/2019 от 05.09.2018</t>
  </si>
  <si>
    <t>Выполнение работ по оценке тех.состояния МКД, разработке ПСД на ремонт крыш 9 МКД.</t>
  </si>
  <si>
    <t>доп. согл. По УСН 398933,63</t>
  </si>
  <si>
    <t>202870000011800436</t>
  </si>
  <si>
    <t>протокол рассмотрения заявок на участие в эл/аукционе от 21.08.2018 № 202870000011800436</t>
  </si>
  <si>
    <t>№ 204/2018 07.09.2018</t>
  </si>
  <si>
    <t xml:space="preserve">Владимирская область, Гусь-Хрустальный р-н, п. Гусевский, ул. Октябрьская, д.4- капитальный ремонт крыши.
</t>
  </si>
  <si>
    <t>доп. согл. По УСН 2027170,19</t>
  </si>
  <si>
    <t>202870000011800435</t>
  </si>
  <si>
    <t>протокол рассмотрения заявок на участие в эл/аукционе от 21.08.2018 № 202870000011800435</t>
  </si>
  <si>
    <t>№ 203/2018 07.09.2018</t>
  </si>
  <si>
    <t xml:space="preserve">Владимирская область, г. Гусь-Хрустальный, ул. Ленинградская, д.6 - капитальный ремонт крыши.
</t>
  </si>
  <si>
    <t>доп. согл. По УСН 1453094,25</t>
  </si>
  <si>
    <t>202870000011800465</t>
  </si>
  <si>
    <t>Протокол  рассмотрения зявок на участие в электронном аукционе  реестровый номер от 23 августа 2018 года</t>
  </si>
  <si>
    <t>№207/2018 07.09.2018</t>
  </si>
  <si>
    <t>Владимирская область, г. Владимир, ул. Лакина, д.205 - капитальный ремонт крыши.</t>
  </si>
  <si>
    <t xml:space="preserve">доп. согл. По УСН  1119152,4        </t>
  </si>
  <si>
    <t>202870000011800434</t>
  </si>
  <si>
    <t>Протокол  рассмотрения зявок на участие в электронном аукционе  реестровый номер от 21 августа 2018 года</t>
  </si>
  <si>
    <t>№ 202/2018 07.09.2018</t>
  </si>
  <si>
    <t>Владимирская область, Гусь-Хрустальный район, п. Гусевский, ул. Октябрьская, д.2- капитальный ремонт крыши.</t>
  </si>
  <si>
    <t>доп. согл. По УСН 2042054,76</t>
  </si>
  <si>
    <t>202870000011800428</t>
  </si>
  <si>
    <t>Протокол  рассмотрения зявок на участие в электронном аукционе  реестровый номер от 20 августа 2018 года</t>
  </si>
  <si>
    <t>№205/2018 07.09.2018</t>
  </si>
  <si>
    <t>г. Владимир, ул. Труда, д. 19 - капитальный ремонт фасада.</t>
  </si>
  <si>
    <t>202870000011800456</t>
  </si>
  <si>
    <t>протокол рассмотрения заявок на участие в эл/аукционе от 26.08.2018 № 202870000011800456</t>
  </si>
  <si>
    <t>№ 10/2019 от 10.09.2018</t>
  </si>
  <si>
    <t>Выполнение работ по оценке тех.состояния МКД, разработке ПСД на капитальный ремонт. 11 МКД.</t>
  </si>
  <si>
    <t>в течение 80 календарных дней</t>
  </si>
  <si>
    <t>доп. согл. По УСН 505330,87</t>
  </si>
  <si>
    <t>202870000011800458</t>
  </si>
  <si>
    <t>протокол рассмотрения заявок на участие в эл/аукционе от 26.08.2018 № 202870000011800458</t>
  </si>
  <si>
    <t>№ 8/2019 от 10.09.2018</t>
  </si>
  <si>
    <t>Выполнение работ по оценке тех.состояния МКД, разработке ПСД на капитальный ремонт. 7 МКД.</t>
  </si>
  <si>
    <t>доп. согл. По УСН 286113,09</t>
  </si>
  <si>
    <t>202870000011800424</t>
  </si>
  <si>
    <t>протокол рассмотрения заявок на участие в эл/аукционе от 26.08.2018 № 202870000011800424</t>
  </si>
  <si>
    <t>№ 5/2019 от 10.09.2018</t>
  </si>
  <si>
    <t>доп. согл. По УСН 331798,1</t>
  </si>
  <si>
    <t>202870000011800446</t>
  </si>
  <si>
    <t>протокол рассмотрения заявок на участие в эл/аукционе от 27.08.2018 № 202870000011800446</t>
  </si>
  <si>
    <t>№ 16/2019 от 10.09.2018</t>
  </si>
  <si>
    <t>Выполнение работ по оценке тех.состояния МКД, разработке ПСД на капитальный ремонт. 9 МКД.</t>
  </si>
  <si>
    <t>доп. согл. По УСН 425080,73</t>
  </si>
  <si>
    <t>202870000011800445</t>
  </si>
  <si>
    <t>протокол рассмотрения заявок на участие в эл/аукционе от 27.08.2018 № 202870000011800445</t>
  </si>
  <si>
    <t>№ 17/2019 от 10.09.2018</t>
  </si>
  <si>
    <t>доп. согл. По УСН 361343,45</t>
  </si>
  <si>
    <t>202870000011800454</t>
  </si>
  <si>
    <t>протокол рассмотрения заявок на участие в эл/аукционе от 26.08.2018 № 202870000011800454</t>
  </si>
  <si>
    <t>№ 12/2019 от 10.09.2018</t>
  </si>
  <si>
    <t>Выполнение работ по оценке тех.состояния МКД, разработке ПСД на капитальный ремонт. 6 МКД.</t>
  </si>
  <si>
    <t>доп. согл. По УСН 284000,64</t>
  </si>
  <si>
    <t>202870000011800459</t>
  </si>
  <si>
    <t>протокол рассмотрения заявок на участие в эл/аукционе от 26.08.2018 № 202870000011800459</t>
  </si>
  <si>
    <t>№ 7/2019 от 10.09.2018</t>
  </si>
  <si>
    <t>Выполнение работ по оценке тех.состояния МКД, разработке ПСД на капитальный ремонт. 8 МКД.</t>
  </si>
  <si>
    <t>доп. согл. По УСН 350227,14</t>
  </si>
  <si>
    <t>202870000011800460</t>
  </si>
  <si>
    <t>протокол рассмотрения заявок на участие в эл/аукционе от 26.08.2018 № 202870000011800460</t>
  </si>
  <si>
    <t>№ 6/2019 от 10.09.2018</t>
  </si>
  <si>
    <t>доп. согл. По УСН 343005,55</t>
  </si>
  <si>
    <t>202870000011800468</t>
  </si>
  <si>
    <t>протокол рассмотрения заявок на участие в эл/аукционе от 27.08.2018 № 202870000011800468</t>
  </si>
  <si>
    <t>№ 13/2019 от 10.09.2018</t>
  </si>
  <si>
    <t>доп. согл. По УСН 380816,37</t>
  </si>
  <si>
    <t>202870000011800469</t>
  </si>
  <si>
    <t>протокол рассмотрения заявок на участие в эл/аукционе от 27.08.2018 № 202870000011800469</t>
  </si>
  <si>
    <t>№ 14/2019 от 10.09.2018</t>
  </si>
  <si>
    <t>доп. согл. По УСН 380163,16</t>
  </si>
  <si>
    <t>202870000011800470</t>
  </si>
  <si>
    <t>протокол рассмотрения заявок на участие в эл/аукционе от 27.08.2018 № 202870000011800470</t>
  </si>
  <si>
    <t>№ 15/2019 от 10.09.2018</t>
  </si>
  <si>
    <t>доп. согл. По УСН 365775,68</t>
  </si>
  <si>
    <t>202870000011800471</t>
  </si>
  <si>
    <t>протокол рассмотрения заявок на участие в эл/аукционе от 23.08.2018 № 202870000011800471</t>
  </si>
  <si>
    <t>№ 212/2018 от 10.09.2018</t>
  </si>
  <si>
    <t>Владимирская область, Юрьев-Польский район, с. Сима, ул. Луговая, д.3. - Владимирская область, Юрьев-Польский район, с. Федоровское, д.76.- капитальный ремонт крыш.</t>
  </si>
  <si>
    <t>доп. согл. По УСН 4801919,61</t>
  </si>
  <si>
    <t>202870000011800464</t>
  </si>
  <si>
    <t>протокол рассмотрения заявок на участие в эл/аукционе от 23.08.2018 № 202870000011800464</t>
  </si>
  <si>
    <t>№ 208/2018 от 10.09.2018</t>
  </si>
  <si>
    <t>Владимирская область, Собинский р-н, п. Ставрово, ул. Совхозная, д.11- капитальный ремонт крыши.</t>
  </si>
  <si>
    <t>доп. согл. По УСН 2238815,26</t>
  </si>
  <si>
    <t>202870000011800449</t>
  </si>
  <si>
    <t>протокол рассмотрения заявок на участие в эл/аукционе от 23.08.2018 № 202870000011800449</t>
  </si>
  <si>
    <t>№ 211/2018 11.09.2018</t>
  </si>
  <si>
    <t xml:space="preserve">Владимирская область, г. Судогда, ул. Гагарина, д.4 - капитальный ремонт крыши.
</t>
  </si>
  <si>
    <t>доп. согл. По УСН 2092334,68</t>
  </si>
  <si>
    <t>202870000011800450</t>
  </si>
  <si>
    <t>протокол рассмотрения заявок на участие в эл/аукционе от 23.08.2018 № 202870000011800450</t>
  </si>
  <si>
    <t>№ 210/2018 11.09.2018</t>
  </si>
  <si>
    <t xml:space="preserve">Владимирская область, Судогодский р-н, п. Андреево, ул. Первомайская, д.13 - капитальный ремонт крыши.
</t>
  </si>
  <si>
    <t>доп. согл. По УСН 1970144,3</t>
  </si>
  <si>
    <t>202870000011800455</t>
  </si>
  <si>
    <t>протокол рассмотрения заявок на участие в эл/аукционе от 26.08.2018 № 202870000011800455</t>
  </si>
  <si>
    <t>№ 11/2019 от 12.09.2018</t>
  </si>
  <si>
    <t>доп. согл. По УСН 250735,02</t>
  </si>
  <si>
    <t>202870000011800453</t>
  </si>
  <si>
    <t>№ 209/2018 12.09.2018</t>
  </si>
  <si>
    <t xml:space="preserve">Владимирская область, г. Владимир, ул. Пичугина, д. 7 - капитальный ремонт крыши
</t>
  </si>
  <si>
    <t>202870000011800438</t>
  </si>
  <si>
    <t>№ 214/2018 от 12.09.2018</t>
  </si>
  <si>
    <t>Владимирская область, г. Собинка, ул. Ленина, д.34-а - капитальный ремонт крыши.</t>
  </si>
  <si>
    <t>доп. согл. По УСН 1838522,91</t>
  </si>
  <si>
    <t>202870000011800457</t>
  </si>
  <si>
    <t>Протокол  рассмотрения зявок на участие в электронном аукционе  реестровый номер от 26 августа 2018 года</t>
  </si>
  <si>
    <t>№ 9/2019 от 14.09.2018</t>
  </si>
  <si>
    <t>Выполнение работ по оценке тех.состояния МКД, разработке ПСД на капитальный ремонт. 10 МКД.</t>
  </si>
  <si>
    <t>доп. согл. По УСН 564050,97</t>
  </si>
  <si>
    <t>202870000011800485</t>
  </si>
  <si>
    <t>Протокол  рассмотрения зявок на участие в электронном аукционе  реестровый номер от 06 сентября 2018 года</t>
  </si>
  <si>
    <t>№ 215/2018 от 20.09.2018</t>
  </si>
  <si>
    <t>Владимирская область, г. Суздаль, ул. Гоголя, д.13..- капитальный ремонт крыши.</t>
  </si>
  <si>
    <t>ООО "Жилстройцентр"</t>
  </si>
  <si>
    <t>153035, Ивановская обл, Иваново г, 3-я Полетная ул, ДОМ 2, ОФИС 1001</t>
  </si>
  <si>
    <t>202870000011800517</t>
  </si>
  <si>
    <t>Протокол  рассмотрения зявок на участие в электронном аукционе  реестровый номер от 09 сентября 2018 года</t>
  </si>
  <si>
    <t>№ 217/2018 от 21.09.2018</t>
  </si>
  <si>
    <t>г. Гусь-Хрустальный, ул. 2-я Народная, д. 3 - капитальный ремонт крыши.</t>
  </si>
  <si>
    <t>доп. согл. По УСН 1469266,82</t>
  </si>
  <si>
    <t>№14/2018 19.02.2018</t>
  </si>
</sst>
</file>

<file path=xl/styles.xml><?xml version="1.0" encoding="utf-8"?>
<styleSheet xmlns="http://schemas.openxmlformats.org/spreadsheetml/2006/main">
  <numFmts count="3">
    <numFmt numFmtId="43" formatCode="_-* #,##0.00\ _₽_-;\-* #,##0.00\ _₽_-;_-* &quot;-&quot;??\ _₽_-;_-@_-"/>
    <numFmt numFmtId="164" formatCode="0.0%"/>
    <numFmt numFmtId="165" formatCode="000000"/>
  </numFmts>
  <fonts count="25">
    <font>
      <sz val="11"/>
      <color theme="1"/>
      <name val="Calibri"/>
      <family val="2"/>
      <charset val="204"/>
      <scheme val="minor"/>
    </font>
    <font>
      <sz val="10"/>
      <color theme="1"/>
      <name val="Times New Roman"/>
      <family val="1"/>
      <charset val="204"/>
    </font>
    <font>
      <sz val="9"/>
      <color rgb="FF000000"/>
      <name val="Times New Roman"/>
      <family val="1"/>
      <charset val="204"/>
    </font>
    <font>
      <sz val="9"/>
      <color theme="1"/>
      <name val="Calibri"/>
      <family val="2"/>
      <charset val="204"/>
      <scheme val="minor"/>
    </font>
    <font>
      <sz val="14"/>
      <color theme="1"/>
      <name val="Times New Roman"/>
      <family val="1"/>
      <charset val="204"/>
    </font>
    <font>
      <b/>
      <sz val="14"/>
      <color theme="1"/>
      <name val="Times New Roman"/>
      <family val="1"/>
      <charset val="204"/>
    </font>
    <font>
      <sz val="11"/>
      <color theme="1"/>
      <name val="Times New Roman"/>
      <family val="1"/>
      <charset val="204"/>
    </font>
    <font>
      <sz val="11"/>
      <color rgb="FF000000"/>
      <name val="Times New Roman"/>
      <family val="1"/>
      <charset val="204"/>
    </font>
    <font>
      <sz val="12"/>
      <color theme="1"/>
      <name val="Times New Roman"/>
      <family val="1"/>
      <charset val="204"/>
    </font>
    <font>
      <sz val="12"/>
      <color rgb="FF333333"/>
      <name val="Times New Roman"/>
      <family val="1"/>
      <charset val="204"/>
    </font>
    <font>
      <sz val="12"/>
      <color theme="1"/>
      <name val="Calibri"/>
      <family val="2"/>
      <charset val="204"/>
      <scheme val="minor"/>
    </font>
    <font>
      <u/>
      <sz val="11"/>
      <color theme="10"/>
      <name val="Calibri"/>
      <family val="2"/>
      <charset val="204"/>
      <scheme val="minor"/>
    </font>
    <font>
      <sz val="11"/>
      <color theme="1"/>
      <name val="Calibri"/>
      <family val="2"/>
      <charset val="204"/>
      <scheme val="minor"/>
    </font>
    <font>
      <sz val="12"/>
      <color rgb="FFFF0000"/>
      <name val="Times New Roman"/>
      <family val="1"/>
      <charset val="204"/>
    </font>
    <font>
      <sz val="11"/>
      <name val="Times New Roman"/>
      <family val="1"/>
      <charset val="204"/>
    </font>
    <font>
      <sz val="9"/>
      <name val="Times New Roman"/>
      <family val="1"/>
      <charset val="204"/>
    </font>
    <font>
      <sz val="12"/>
      <name val="Times New Roman"/>
      <family val="1"/>
      <charset val="204"/>
    </font>
    <font>
      <sz val="11"/>
      <name val="Calibri"/>
      <family val="2"/>
      <charset val="204"/>
      <scheme val="minor"/>
    </font>
    <font>
      <b/>
      <sz val="11"/>
      <name val="Times New Roman"/>
      <family val="1"/>
      <charset val="204"/>
    </font>
    <font>
      <sz val="11"/>
      <color rgb="FFC00000"/>
      <name val="Times New Roman"/>
      <family val="1"/>
      <charset val="204"/>
    </font>
    <font>
      <sz val="11"/>
      <color rgb="FFFF0000"/>
      <name val="Times New Roman"/>
      <family val="1"/>
      <charset val="204"/>
    </font>
    <font>
      <sz val="12"/>
      <name val="Calibri"/>
      <family val="2"/>
      <charset val="204"/>
      <scheme val="minor"/>
    </font>
    <font>
      <u/>
      <sz val="12"/>
      <name val="Times New Roman"/>
      <family val="1"/>
      <charset val="204"/>
    </font>
    <font>
      <sz val="10"/>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11" fillId="0" borderId="0" applyNumberFormat="0" applyFill="0" applyBorder="0" applyAlignment="0" applyProtection="0"/>
    <xf numFmtId="9" fontId="12" fillId="0" borderId="0" applyFont="0" applyFill="0" applyBorder="0" applyAlignment="0" applyProtection="0"/>
  </cellStyleXfs>
  <cellXfs count="126">
    <xf numFmtId="0" fontId="0" fillId="0" borderId="0" xfId="0"/>
    <xf numFmtId="0" fontId="1" fillId="0" borderId="0" xfId="0" applyFont="1"/>
    <xf numFmtId="0" fontId="3" fillId="0" borderId="0" xfId="0" applyFont="1"/>
    <xf numFmtId="0" fontId="6" fillId="0" borderId="0" xfId="0" applyFont="1"/>
    <xf numFmtId="0" fontId="2" fillId="0" borderId="1" xfId="0" applyFont="1" applyBorder="1" applyAlignment="1">
      <alignment horizontal="center" vertical="center" wrapText="1"/>
    </xf>
    <xf numFmtId="0" fontId="0" fillId="0" borderId="4" xfId="0" applyBorder="1"/>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0" fillId="0" borderId="4" xfId="0" applyBorder="1" applyAlignment="1">
      <alignment horizontal="center" vertical="center" wrapText="1"/>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14" fontId="8" fillId="0" borderId="5" xfId="0" applyNumberFormat="1" applyFont="1" applyBorder="1" applyAlignment="1">
      <alignment horizontal="center" vertical="center" wrapText="1"/>
    </xf>
    <xf numFmtId="14" fontId="9"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1" fontId="8" fillId="0" borderId="5" xfId="0" applyNumberFormat="1" applyFont="1" applyBorder="1" applyAlignment="1">
      <alignment horizontal="center" vertical="center" wrapText="1"/>
    </xf>
    <xf numFmtId="0" fontId="8" fillId="0" borderId="5" xfId="0" applyFont="1" applyBorder="1"/>
    <xf numFmtId="0" fontId="10" fillId="0" borderId="4" xfId="0" applyFont="1" applyBorder="1" applyAlignment="1">
      <alignment horizontal="center" vertical="center" wrapText="1"/>
    </xf>
    <xf numFmtId="0" fontId="10" fillId="0" borderId="4" xfId="0" applyFont="1" applyBorder="1"/>
    <xf numFmtId="4" fontId="8" fillId="0" borderId="4" xfId="0" applyNumberFormat="1" applyFont="1" applyBorder="1" applyAlignment="1">
      <alignment horizontal="center" vertical="center"/>
    </xf>
    <xf numFmtId="0" fontId="9" fillId="0" borderId="0" xfId="0" applyFont="1" applyAlignment="1">
      <alignment horizontal="center" vertical="center"/>
    </xf>
    <xf numFmtId="164" fontId="8" fillId="0" borderId="4" xfId="0" applyNumberFormat="1" applyFont="1" applyBorder="1" applyAlignment="1">
      <alignment horizontal="center" vertical="center"/>
    </xf>
    <xf numFmtId="0" fontId="9" fillId="0" borderId="4" xfId="0" applyFont="1" applyBorder="1" applyAlignment="1">
      <alignment horizontal="center" vertical="center"/>
    </xf>
    <xf numFmtId="0" fontId="11" fillId="0" borderId="5" xfId="1" applyBorder="1" applyAlignment="1">
      <alignment horizontal="center" vertical="center"/>
    </xf>
    <xf numFmtId="165" fontId="9" fillId="0" borderId="4" xfId="0" applyNumberFormat="1" applyFont="1" applyBorder="1" applyAlignment="1">
      <alignment horizontal="center" vertical="center"/>
    </xf>
    <xf numFmtId="14" fontId="9" fillId="0" borderId="5" xfId="0" applyNumberFormat="1" applyFont="1" applyBorder="1" applyAlignment="1">
      <alignment horizontal="center" vertical="top" wrapText="1"/>
    </xf>
    <xf numFmtId="164" fontId="9" fillId="0" borderId="5"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165" fontId="9"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0" fillId="0" borderId="4" xfId="0" applyBorder="1" applyAlignment="1">
      <alignment vertical="center" wrapText="1"/>
    </xf>
    <xf numFmtId="0" fontId="0" fillId="0" borderId="0" xfId="0" applyAlignment="1">
      <alignment vertical="center" wrapText="1"/>
    </xf>
    <xf numFmtId="4" fontId="8" fillId="2" borderId="4" xfId="0" applyNumberFormat="1" applyFont="1" applyFill="1" applyBorder="1" applyAlignment="1">
      <alignment horizontal="center" vertical="center"/>
    </xf>
    <xf numFmtId="10" fontId="9" fillId="0" borderId="5" xfId="2" applyNumberFormat="1" applyFont="1" applyBorder="1" applyAlignment="1">
      <alignment horizontal="center" vertical="center" wrapText="1"/>
    </xf>
    <xf numFmtId="4" fontId="13" fillId="0" borderId="4" xfId="0" applyNumberFormat="1" applyFont="1" applyBorder="1" applyAlignment="1">
      <alignment horizontal="center" vertical="center"/>
    </xf>
    <xf numFmtId="0" fontId="8" fillId="2" borderId="5" xfId="0" applyFont="1" applyFill="1" applyBorder="1" applyAlignment="1">
      <alignment horizontal="center" vertical="center" wrapText="1"/>
    </xf>
    <xf numFmtId="10" fontId="9" fillId="0" borderId="5" xfId="0" applyNumberFormat="1" applyFont="1" applyBorder="1" applyAlignment="1">
      <alignment horizontal="center" vertical="center" wrapText="1"/>
    </xf>
    <xf numFmtId="0" fontId="14"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14" fontId="16" fillId="2" borderId="5" xfId="0" applyNumberFormat="1" applyFont="1" applyFill="1" applyBorder="1" applyAlignment="1">
      <alignment horizontal="center" vertical="center" wrapText="1"/>
    </xf>
    <xf numFmtId="0" fontId="0" fillId="2" borderId="0" xfId="0" applyFill="1"/>
    <xf numFmtId="1" fontId="8" fillId="0" borderId="6" xfId="0" applyNumberFormat="1" applyFont="1" applyBorder="1" applyAlignment="1">
      <alignment horizontal="center" vertical="center" wrapText="1"/>
    </xf>
    <xf numFmtId="0" fontId="9" fillId="0" borderId="7" xfId="0" applyFont="1" applyBorder="1" applyAlignment="1">
      <alignment horizontal="center" vertical="center"/>
    </xf>
    <xf numFmtId="165" fontId="9" fillId="0" borderId="7" xfId="0" applyNumberFormat="1" applyFont="1" applyBorder="1" applyAlignment="1">
      <alignment horizontal="center" vertical="center"/>
    </xf>
    <xf numFmtId="0" fontId="2" fillId="0" borderId="8" xfId="0" applyFont="1" applyBorder="1" applyAlignment="1">
      <alignment horizontal="center" vertical="center" wrapText="1"/>
    </xf>
    <xf numFmtId="0" fontId="6" fillId="0" borderId="4" xfId="0" applyFont="1" applyBorder="1"/>
    <xf numFmtId="0" fontId="16" fillId="0" borderId="5" xfId="0" applyFont="1" applyBorder="1" applyAlignment="1">
      <alignment horizontal="center" vertical="center" wrapText="1"/>
    </xf>
    <xf numFmtId="0" fontId="16" fillId="2" borderId="5" xfId="0" applyFont="1" applyFill="1" applyBorder="1" applyAlignment="1">
      <alignment horizontal="center" vertical="center" wrapText="1"/>
    </xf>
    <xf numFmtId="14" fontId="16" fillId="0" borderId="5" xfId="0" applyNumberFormat="1" applyFont="1" applyBorder="1" applyAlignment="1">
      <alignment horizontal="center" vertical="center" wrapText="1"/>
    </xf>
    <xf numFmtId="14" fontId="16" fillId="0" borderId="5" xfId="0" applyNumberFormat="1" applyFont="1" applyBorder="1" applyAlignment="1">
      <alignment horizontal="center" vertical="top" wrapText="1"/>
    </xf>
    <xf numFmtId="4" fontId="16" fillId="0" borderId="4" xfId="0" applyNumberFormat="1" applyFont="1" applyBorder="1" applyAlignment="1">
      <alignment horizontal="center" vertical="center"/>
    </xf>
    <xf numFmtId="164" fontId="16" fillId="0" borderId="5" xfId="0" applyNumberFormat="1" applyFont="1" applyBorder="1" applyAlignment="1">
      <alignment horizontal="center" vertical="center" wrapText="1"/>
    </xf>
    <xf numFmtId="165" fontId="16" fillId="0" borderId="4" xfId="0" applyNumberFormat="1" applyFont="1" applyBorder="1" applyAlignment="1">
      <alignment horizontal="center" vertical="center"/>
    </xf>
    <xf numFmtId="0" fontId="16" fillId="0" borderId="4" xfId="0" applyFont="1" applyBorder="1" applyAlignment="1">
      <alignment horizontal="center" vertical="center" wrapText="1"/>
    </xf>
    <xf numFmtId="0" fontId="17" fillId="0" borderId="4" xfId="0" applyFont="1" applyBorder="1"/>
    <xf numFmtId="0" fontId="16" fillId="0" borderId="4" xfId="0" applyFont="1" applyBorder="1" applyAlignment="1">
      <alignment horizontal="center" vertical="center"/>
    </xf>
    <xf numFmtId="1" fontId="16" fillId="0" borderId="5" xfId="0" applyNumberFormat="1" applyFont="1" applyBorder="1" applyAlignment="1">
      <alignment horizontal="center" vertical="center" wrapText="1"/>
    </xf>
    <xf numFmtId="0" fontId="17" fillId="0" borderId="4" xfId="0" applyFont="1" applyBorder="1" applyAlignment="1">
      <alignment wrapText="1"/>
    </xf>
    <xf numFmtId="0" fontId="11" fillId="0" borderId="4" xfId="1" applyBorder="1" applyAlignment="1">
      <alignment horizontal="center" vertical="center"/>
    </xf>
    <xf numFmtId="0" fontId="13" fillId="0" borderId="5" xfId="0" applyFont="1" applyBorder="1" applyAlignment="1">
      <alignment horizontal="center" vertical="center"/>
    </xf>
    <xf numFmtId="0" fontId="16" fillId="0" borderId="5" xfId="0" applyFont="1" applyFill="1" applyBorder="1" applyAlignment="1">
      <alignment horizontal="center" vertical="center" wrapText="1"/>
    </xf>
    <xf numFmtId="14" fontId="16" fillId="0" borderId="5" xfId="0" applyNumberFormat="1" applyFont="1" applyFill="1" applyBorder="1" applyAlignment="1">
      <alignment horizontal="center" vertical="center" wrapText="1"/>
    </xf>
    <xf numFmtId="14" fontId="16" fillId="0" borderId="5" xfId="0" applyNumberFormat="1" applyFont="1" applyFill="1" applyBorder="1" applyAlignment="1">
      <alignment horizontal="center" vertical="top" wrapText="1"/>
    </xf>
    <xf numFmtId="4" fontId="16" fillId="0" borderId="4" xfId="0" applyNumberFormat="1" applyFont="1" applyFill="1" applyBorder="1" applyAlignment="1">
      <alignment horizontal="center" vertical="center"/>
    </xf>
    <xf numFmtId="164" fontId="16" fillId="0" borderId="5" xfId="0" applyNumberFormat="1" applyFont="1" applyFill="1" applyBorder="1" applyAlignment="1">
      <alignment horizontal="center" vertical="center" wrapText="1"/>
    </xf>
    <xf numFmtId="165" fontId="16" fillId="0" borderId="4" xfId="0" applyNumberFormat="1" applyFont="1" applyFill="1" applyBorder="1" applyAlignment="1">
      <alignment horizontal="center" vertical="center"/>
    </xf>
    <xf numFmtId="14" fontId="14" fillId="0" borderId="5" xfId="0" applyNumberFormat="1" applyFont="1" applyBorder="1" applyAlignment="1">
      <alignment horizontal="left" vertical="top" wrapText="1"/>
    </xf>
    <xf numFmtId="14" fontId="16" fillId="0" borderId="4" xfId="0" applyNumberFormat="1" applyFont="1" applyBorder="1" applyAlignment="1">
      <alignment horizontal="center" vertical="center"/>
    </xf>
    <xf numFmtId="0" fontId="8" fillId="0" borderId="0" xfId="0" applyFont="1" applyAlignment="1">
      <alignment horizontal="center" vertical="center"/>
    </xf>
    <xf numFmtId="0" fontId="14" fillId="0" borderId="4" xfId="0" applyFont="1" applyBorder="1" applyAlignment="1">
      <alignment horizontal="center" vertical="center"/>
    </xf>
    <xf numFmtId="0" fontId="16" fillId="0"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7" fillId="0" borderId="4" xfId="0" applyFont="1" applyBorder="1" applyAlignment="1">
      <alignment horizontal="left" vertical="center" wrapText="1"/>
    </xf>
    <xf numFmtId="14" fontId="14" fillId="0" borderId="4" xfId="0" applyNumberFormat="1" applyFont="1" applyBorder="1" applyAlignment="1">
      <alignment horizontal="center" vertical="center"/>
    </xf>
    <xf numFmtId="4" fontId="14" fillId="0" borderId="4" xfId="0" applyNumberFormat="1" applyFont="1" applyBorder="1" applyAlignment="1">
      <alignment horizontal="center" vertical="center"/>
    </xf>
    <xf numFmtId="0" fontId="10" fillId="0" borderId="0" xfId="0" applyFont="1"/>
    <xf numFmtId="0" fontId="14" fillId="0" borderId="4" xfId="0" applyFont="1" applyBorder="1" applyAlignment="1">
      <alignment horizontal="left" vertical="center" wrapText="1"/>
    </xf>
    <xf numFmtId="0" fontId="13" fillId="0" borderId="4" xfId="0" applyFont="1" applyBorder="1" applyAlignment="1">
      <alignment horizontal="center" vertical="center" wrapText="1"/>
    </xf>
    <xf numFmtId="0" fontId="13" fillId="0" borderId="4" xfId="0" applyFont="1" applyBorder="1" applyAlignment="1">
      <alignment horizontal="center" vertical="center"/>
    </xf>
    <xf numFmtId="14" fontId="8" fillId="0" borderId="4" xfId="0" applyNumberFormat="1" applyFont="1" applyBorder="1" applyAlignment="1">
      <alignment horizontal="center" vertical="center"/>
    </xf>
    <xf numFmtId="0" fontId="14" fillId="0" borderId="4" xfId="0" applyFont="1" applyBorder="1" applyAlignment="1">
      <alignment vertical="center" wrapText="1"/>
    </xf>
    <xf numFmtId="164" fontId="14" fillId="0" borderId="4" xfId="0" applyNumberFormat="1" applyFont="1" applyBorder="1" applyAlignment="1">
      <alignment horizontal="center" vertical="center"/>
    </xf>
    <xf numFmtId="0" fontId="19" fillId="0" borderId="4" xfId="0" applyFont="1" applyBorder="1" applyAlignment="1">
      <alignment horizontal="center" vertical="center"/>
    </xf>
    <xf numFmtId="0" fontId="14" fillId="0" borderId="4" xfId="0" applyFont="1" applyBorder="1" applyAlignment="1">
      <alignment wrapText="1"/>
    </xf>
    <xf numFmtId="0" fontId="14" fillId="0" borderId="4" xfId="0" applyFont="1" applyBorder="1"/>
    <xf numFmtId="164" fontId="16" fillId="0" borderId="4" xfId="0" applyNumberFormat="1" applyFont="1" applyBorder="1" applyAlignment="1">
      <alignment horizontal="center" vertical="center"/>
    </xf>
    <xf numFmtId="14" fontId="6" fillId="0" borderId="4" xfId="0" applyNumberFormat="1" applyFont="1" applyBorder="1" applyAlignment="1">
      <alignment horizontal="center" vertical="center"/>
    </xf>
    <xf numFmtId="14" fontId="16" fillId="0" borderId="4" xfId="0" applyNumberFormat="1" applyFont="1" applyBorder="1" applyAlignment="1">
      <alignment horizontal="center" vertical="center" wrapText="1"/>
    </xf>
    <xf numFmtId="0" fontId="7" fillId="0" borderId="4" xfId="0" applyFont="1" applyBorder="1" applyAlignment="1">
      <alignment vertical="center" wrapText="1"/>
    </xf>
    <xf numFmtId="0" fontId="16" fillId="0" borderId="4" xfId="0" applyNumberFormat="1" applyFont="1" applyBorder="1" applyAlignment="1">
      <alignment horizontal="center" vertical="center"/>
    </xf>
    <xf numFmtId="14" fontId="16" fillId="0" borderId="5" xfId="0" applyNumberFormat="1" applyFont="1" applyBorder="1" applyAlignment="1">
      <alignment horizontal="left" vertical="center" wrapText="1"/>
    </xf>
    <xf numFmtId="14" fontId="16" fillId="0" borderId="5" xfId="0" applyNumberFormat="1" applyFont="1" applyBorder="1" applyAlignment="1">
      <alignment horizontal="left" vertical="top" wrapText="1"/>
    </xf>
    <xf numFmtId="0" fontId="16" fillId="0" borderId="5" xfId="0" applyFont="1" applyBorder="1" applyAlignment="1">
      <alignment horizontal="left" vertical="center" wrapText="1"/>
    </xf>
    <xf numFmtId="0" fontId="20" fillId="0" borderId="4" xfId="0" applyFont="1" applyBorder="1" applyAlignment="1">
      <alignment horizontal="center" vertical="center" wrapText="1"/>
    </xf>
    <xf numFmtId="0" fontId="4" fillId="0" borderId="4" xfId="0" applyFont="1" applyBorder="1" applyAlignment="1">
      <alignment horizontal="center" vertical="center"/>
    </xf>
    <xf numFmtId="4" fontId="4" fillId="0" borderId="4" xfId="0" applyNumberFormat="1" applyFont="1" applyBorder="1" applyAlignment="1">
      <alignment horizontal="center" vertical="center"/>
    </xf>
    <xf numFmtId="4" fontId="16" fillId="0" borderId="4" xfId="0" applyNumberFormat="1" applyFont="1" applyBorder="1" applyAlignment="1">
      <alignment horizontal="center" vertical="center" wrapText="1"/>
    </xf>
    <xf numFmtId="4" fontId="16" fillId="2" borderId="4" xfId="0" applyNumberFormat="1" applyFont="1" applyFill="1" applyBorder="1" applyAlignment="1">
      <alignment horizontal="center" vertical="center"/>
    </xf>
    <xf numFmtId="10" fontId="16" fillId="0" borderId="5" xfId="0" applyNumberFormat="1" applyFont="1" applyBorder="1" applyAlignment="1">
      <alignment horizontal="center" vertical="center" wrapText="1"/>
    </xf>
    <xf numFmtId="165" fontId="16" fillId="0" borderId="4" xfId="0" applyNumberFormat="1" applyFont="1" applyBorder="1" applyAlignment="1">
      <alignment horizontal="center" vertical="center" wrapText="1"/>
    </xf>
    <xf numFmtId="43" fontId="16" fillId="0" borderId="5" xfId="0" applyNumberFormat="1" applyFont="1" applyBorder="1" applyAlignment="1">
      <alignment horizontal="center" vertical="center" wrapText="1"/>
    </xf>
    <xf numFmtId="0" fontId="16" fillId="2" borderId="4" xfId="0" applyFont="1" applyFill="1" applyBorder="1" applyAlignment="1">
      <alignment horizontal="center" vertical="center" wrapText="1"/>
    </xf>
    <xf numFmtId="4" fontId="16" fillId="0" borderId="5" xfId="0" applyNumberFormat="1" applyFont="1" applyBorder="1" applyAlignment="1">
      <alignment horizontal="center" vertical="center" wrapText="1"/>
    </xf>
    <xf numFmtId="0" fontId="16" fillId="0" borderId="0" xfId="0" applyFont="1" applyAlignment="1">
      <alignment horizontal="center" vertical="center"/>
    </xf>
    <xf numFmtId="0" fontId="21" fillId="0" borderId="4" xfId="0" applyFont="1" applyBorder="1"/>
    <xf numFmtId="164" fontId="16" fillId="2" borderId="5" xfId="0" applyNumberFormat="1" applyFont="1" applyFill="1" applyBorder="1" applyAlignment="1">
      <alignment horizontal="center" vertical="center" wrapText="1"/>
    </xf>
    <xf numFmtId="165" fontId="16" fillId="2" borderId="4" xfId="0" applyNumberFormat="1" applyFont="1" applyFill="1" applyBorder="1" applyAlignment="1">
      <alignment horizontal="center" vertical="center"/>
    </xf>
    <xf numFmtId="0" fontId="11" fillId="2" borderId="4" xfId="1" applyFill="1" applyBorder="1" applyAlignment="1">
      <alignment horizontal="center" vertical="center"/>
    </xf>
    <xf numFmtId="0" fontId="17" fillId="2" borderId="4" xfId="0" applyFont="1" applyFill="1" applyBorder="1"/>
    <xf numFmtId="14" fontId="16" fillId="0" borderId="5" xfId="0" applyNumberFormat="1" applyFont="1" applyFill="1" applyBorder="1" applyAlignment="1">
      <alignment horizontal="left" vertical="center" wrapText="1"/>
    </xf>
    <xf numFmtId="0" fontId="11" fillId="0" borderId="4" xfId="1" applyFill="1" applyBorder="1" applyAlignment="1">
      <alignment horizontal="center" vertical="center"/>
    </xf>
    <xf numFmtId="0" fontId="0" fillId="0" borderId="0" xfId="0" applyFill="1"/>
    <xf numFmtId="0" fontId="17" fillId="0" borderId="4" xfId="0" applyFont="1" applyFill="1" applyBorder="1"/>
    <xf numFmtId="0" fontId="16" fillId="0" borderId="4" xfId="0" applyFont="1" applyBorder="1" applyAlignment="1">
      <alignment horizontal="left" vertical="center" wrapText="1"/>
    </xf>
    <xf numFmtId="164" fontId="17" fillId="0" borderId="4" xfId="0" applyNumberFormat="1" applyFont="1" applyBorder="1"/>
    <xf numFmtId="0" fontId="23" fillId="0" borderId="4" xfId="0" applyFont="1" applyBorder="1" applyAlignment="1">
      <alignment horizontal="left" vertical="center" wrapText="1"/>
    </xf>
    <xf numFmtId="14" fontId="23" fillId="0" borderId="4" xfId="0" applyNumberFormat="1" applyFont="1" applyBorder="1" applyAlignment="1">
      <alignment horizontal="left" vertical="center" wrapText="1"/>
    </xf>
    <xf numFmtId="49" fontId="16" fillId="2" borderId="5"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14" fontId="23" fillId="0" borderId="4" xfId="0" applyNumberFormat="1" applyFont="1" applyBorder="1" applyAlignment="1">
      <alignment horizontal="center" vertical="center" wrapText="1"/>
    </xf>
    <xf numFmtId="14" fontId="23" fillId="0" borderId="5" xfId="0" applyNumberFormat="1" applyFont="1" applyBorder="1" applyAlignment="1">
      <alignment horizontal="center" vertical="center" wrapText="1"/>
    </xf>
    <xf numFmtId="49" fontId="16" fillId="0" borderId="4" xfId="0" applyNumberFormat="1" applyFont="1" applyBorder="1" applyAlignment="1">
      <alignment horizontal="center" vertical="center"/>
    </xf>
    <xf numFmtId="0" fontId="17" fillId="0" borderId="0" xfId="0" applyFont="1"/>
    <xf numFmtId="0" fontId="5" fillId="0" borderId="0" xfId="0" applyFont="1" applyAlignment="1">
      <alignment horizontal="center" wrapText="1"/>
    </xf>
    <xf numFmtId="0" fontId="5" fillId="0" borderId="3" xfId="0" applyFont="1" applyBorder="1" applyAlignment="1">
      <alignment horizontal="center" wrapText="1"/>
    </xf>
    <xf numFmtId="0" fontId="4" fillId="0" borderId="0" xfId="0" applyFont="1" applyAlignment="1">
      <alignment horizontal="right" vertical="center" wrapText="1"/>
    </xf>
  </cellXfs>
  <cellStyles count="3">
    <cellStyle name="Гиперссылка" xfId="1" builtinId="8"/>
    <cellStyle name="Обычный" xfId="0" builtinId="0"/>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U468"/>
  <sheetViews>
    <sheetView tabSelected="1" topLeftCell="A270" zoomScale="70" zoomScaleNormal="70" workbookViewId="0">
      <selection activeCell="S275" sqref="S275"/>
    </sheetView>
  </sheetViews>
  <sheetFormatPr defaultRowHeight="15"/>
  <cols>
    <col min="1" max="1" width="11.5703125" customWidth="1"/>
    <col min="2" max="2" width="19.42578125" customWidth="1"/>
    <col min="3" max="5" width="20.7109375" customWidth="1"/>
    <col min="6" max="6" width="30.28515625" customWidth="1"/>
    <col min="7" max="7" width="13" style="40" customWidth="1"/>
    <col min="8" max="8" width="51.42578125" customWidth="1"/>
    <col min="9" max="9" width="21.85546875" customWidth="1"/>
    <col min="10" max="10" width="17.140625" customWidth="1"/>
    <col min="11" max="11" width="18" customWidth="1"/>
    <col min="12" max="12" width="14.7109375" customWidth="1"/>
    <col min="13" max="13" width="13.28515625" customWidth="1"/>
    <col min="14" max="14" width="20.85546875" customWidth="1"/>
    <col min="15" max="15" width="16.5703125" customWidth="1"/>
    <col min="16" max="16" width="18.85546875" customWidth="1"/>
    <col min="17" max="17" width="13.42578125" customWidth="1"/>
    <col min="18" max="18" width="14.85546875" customWidth="1"/>
    <col min="19" max="19" width="17.85546875" customWidth="1"/>
    <col min="20" max="20" width="15" customWidth="1"/>
    <col min="21" max="21" width="13.28515625" customWidth="1"/>
  </cols>
  <sheetData>
    <row r="1" spans="1:21" ht="33" customHeight="1">
      <c r="A1" s="125" t="s">
        <v>15</v>
      </c>
      <c r="B1" s="125"/>
      <c r="C1" s="125"/>
      <c r="D1" s="125"/>
      <c r="E1" s="125"/>
      <c r="F1" s="125"/>
      <c r="G1" s="125"/>
      <c r="H1" s="125"/>
      <c r="I1" s="125"/>
      <c r="J1" s="125"/>
      <c r="K1" s="125"/>
      <c r="L1" s="125"/>
      <c r="M1" s="125"/>
      <c r="N1" s="125"/>
      <c r="O1" s="125"/>
      <c r="P1" s="125"/>
      <c r="Q1" s="125"/>
      <c r="R1" s="125"/>
      <c r="S1" s="125"/>
      <c r="T1" s="125"/>
      <c r="U1" s="125"/>
    </row>
    <row r="2" spans="1:21" ht="15" customHeight="1">
      <c r="A2" s="125"/>
      <c r="B2" s="125"/>
      <c r="C2" s="125"/>
      <c r="D2" s="125"/>
      <c r="E2" s="125"/>
      <c r="F2" s="125"/>
      <c r="G2" s="125"/>
      <c r="H2" s="125"/>
      <c r="I2" s="125"/>
      <c r="J2" s="125"/>
      <c r="K2" s="125"/>
      <c r="L2" s="125"/>
      <c r="M2" s="125"/>
      <c r="N2" s="125"/>
      <c r="O2" s="125"/>
      <c r="P2" s="125"/>
      <c r="Q2" s="125"/>
      <c r="R2" s="125"/>
      <c r="S2" s="125"/>
      <c r="T2" s="125"/>
      <c r="U2" s="125"/>
    </row>
    <row r="3" spans="1:21" ht="36" customHeight="1">
      <c r="A3" s="125"/>
      <c r="B3" s="125"/>
      <c r="C3" s="125"/>
      <c r="D3" s="125"/>
      <c r="E3" s="125"/>
      <c r="F3" s="125"/>
      <c r="G3" s="125"/>
      <c r="H3" s="125"/>
      <c r="I3" s="125"/>
      <c r="J3" s="125"/>
      <c r="K3" s="125"/>
      <c r="L3" s="125"/>
      <c r="M3" s="125"/>
      <c r="N3" s="125"/>
      <c r="O3" s="125"/>
      <c r="P3" s="125"/>
      <c r="Q3" s="125"/>
      <c r="R3" s="125"/>
      <c r="S3" s="125"/>
      <c r="T3" s="125"/>
      <c r="U3" s="125"/>
    </row>
    <row r="4" spans="1:21" ht="112.5" hidden="1" customHeight="1">
      <c r="A4" s="125"/>
      <c r="B4" s="125"/>
      <c r="C4" s="125"/>
      <c r="D4" s="125"/>
      <c r="E4" s="125"/>
      <c r="F4" s="125"/>
      <c r="G4" s="125"/>
      <c r="H4" s="125"/>
      <c r="I4" s="125"/>
      <c r="J4" s="125"/>
      <c r="K4" s="125"/>
      <c r="L4" s="125"/>
      <c r="M4" s="125"/>
      <c r="N4" s="125"/>
      <c r="O4" s="125"/>
      <c r="P4" s="125"/>
      <c r="Q4" s="125"/>
      <c r="R4" s="125"/>
      <c r="S4" s="125"/>
      <c r="T4" s="125"/>
      <c r="U4" s="125"/>
    </row>
    <row r="5" spans="1:21" ht="56.25" customHeight="1">
      <c r="A5" s="123" t="s">
        <v>16</v>
      </c>
      <c r="B5" s="123"/>
      <c r="C5" s="123"/>
      <c r="D5" s="123"/>
      <c r="E5" s="123"/>
      <c r="F5" s="123"/>
      <c r="G5" s="123"/>
      <c r="H5" s="123"/>
      <c r="I5" s="123"/>
      <c r="J5" s="123"/>
      <c r="K5" s="123"/>
      <c r="L5" s="123"/>
      <c r="M5" s="123"/>
      <c r="N5" s="123"/>
      <c r="O5" s="123"/>
      <c r="P5" s="123"/>
      <c r="Q5" s="123"/>
      <c r="R5" s="123"/>
      <c r="S5" s="123"/>
      <c r="T5" s="123"/>
      <c r="U5" s="123"/>
    </row>
    <row r="6" spans="1:21" ht="12.75" customHeight="1" thickBot="1">
      <c r="A6" s="123"/>
      <c r="B6" s="123"/>
      <c r="C6" s="123"/>
      <c r="D6" s="123"/>
      <c r="E6" s="123"/>
      <c r="F6" s="123"/>
      <c r="G6" s="123"/>
      <c r="H6" s="123"/>
      <c r="I6" s="123"/>
      <c r="J6" s="123"/>
      <c r="K6" s="123"/>
      <c r="L6" s="123"/>
      <c r="M6" s="123"/>
      <c r="N6" s="123"/>
      <c r="O6" s="123"/>
      <c r="P6" s="123"/>
      <c r="Q6" s="123"/>
      <c r="R6" s="123"/>
      <c r="S6" s="123"/>
      <c r="T6" s="123"/>
      <c r="U6" s="123"/>
    </row>
    <row r="7" spans="1:21" ht="15.75" hidden="1" customHeight="1" thickBot="1">
      <c r="A7" s="124"/>
      <c r="B7" s="124"/>
      <c r="C7" s="124"/>
      <c r="D7" s="124"/>
      <c r="E7" s="124"/>
      <c r="F7" s="124"/>
      <c r="G7" s="124"/>
      <c r="H7" s="124"/>
      <c r="I7" s="124"/>
      <c r="J7" s="124"/>
      <c r="K7" s="124"/>
      <c r="L7" s="124"/>
      <c r="M7" s="124"/>
      <c r="N7" s="124"/>
      <c r="O7" s="124"/>
      <c r="P7" s="124"/>
      <c r="Q7" s="124"/>
      <c r="R7" s="124"/>
      <c r="S7" s="124"/>
      <c r="T7" s="124"/>
      <c r="U7" s="124"/>
    </row>
    <row r="8" spans="1:21" s="1" customFormat="1" ht="94.5" customHeight="1" thickBot="1">
      <c r="A8" s="6" t="s">
        <v>0</v>
      </c>
      <c r="B8" s="7" t="s">
        <v>1</v>
      </c>
      <c r="C8" s="7" t="s">
        <v>2</v>
      </c>
      <c r="D8" s="7" t="s">
        <v>3</v>
      </c>
      <c r="E8" s="7" t="s">
        <v>43</v>
      </c>
      <c r="F8" s="7" t="s">
        <v>45</v>
      </c>
      <c r="G8" s="37" t="s">
        <v>343</v>
      </c>
      <c r="H8" s="7" t="s">
        <v>24</v>
      </c>
      <c r="I8" s="7" t="s">
        <v>4</v>
      </c>
      <c r="J8" s="7" t="s">
        <v>44</v>
      </c>
      <c r="K8" s="7" t="s">
        <v>5</v>
      </c>
      <c r="L8" s="7" t="s">
        <v>33</v>
      </c>
      <c r="M8" s="7" t="s">
        <v>6</v>
      </c>
      <c r="N8" s="7" t="s">
        <v>7</v>
      </c>
      <c r="O8" s="7" t="s">
        <v>14</v>
      </c>
      <c r="P8" s="7" t="s">
        <v>8</v>
      </c>
      <c r="Q8" s="7" t="s">
        <v>9</v>
      </c>
      <c r="R8" s="7" t="s">
        <v>10</v>
      </c>
      <c r="S8" s="7" t="s">
        <v>11</v>
      </c>
      <c r="T8" s="7" t="s">
        <v>12</v>
      </c>
      <c r="U8" s="7" t="s">
        <v>13</v>
      </c>
    </row>
    <row r="9" spans="1:21" s="2" customFormat="1" ht="15.75" customHeight="1" thickBot="1">
      <c r="A9" s="4">
        <v>1</v>
      </c>
      <c r="B9" s="4">
        <v>2</v>
      </c>
      <c r="C9" s="4">
        <v>3</v>
      </c>
      <c r="D9" s="4">
        <v>4</v>
      </c>
      <c r="E9" s="4">
        <v>5</v>
      </c>
      <c r="F9" s="4">
        <v>6</v>
      </c>
      <c r="G9" s="38">
        <v>7</v>
      </c>
      <c r="H9" s="4">
        <v>8</v>
      </c>
      <c r="I9" s="4">
        <v>9</v>
      </c>
      <c r="J9" s="4">
        <v>10</v>
      </c>
      <c r="K9" s="4">
        <v>11</v>
      </c>
      <c r="L9" s="4">
        <v>12</v>
      </c>
      <c r="M9" s="4">
        <v>13</v>
      </c>
      <c r="N9" s="4">
        <v>14</v>
      </c>
      <c r="O9" s="4">
        <v>15</v>
      </c>
      <c r="P9" s="4">
        <v>16</v>
      </c>
      <c r="Q9" s="44">
        <v>17</v>
      </c>
      <c r="R9" s="4">
        <v>18</v>
      </c>
      <c r="S9" s="4">
        <v>19</v>
      </c>
      <c r="T9" s="4">
        <v>20</v>
      </c>
      <c r="U9" s="4">
        <v>21</v>
      </c>
    </row>
    <row r="10" spans="1:21" s="3" customFormat="1" ht="78.75">
      <c r="A10" s="9">
        <v>1</v>
      </c>
      <c r="B10" s="10" t="s">
        <v>20</v>
      </c>
      <c r="C10" s="10" t="s">
        <v>22</v>
      </c>
      <c r="D10" s="10" t="s">
        <v>21</v>
      </c>
      <c r="E10" s="10" t="s">
        <v>42</v>
      </c>
      <c r="F10" s="11" t="s">
        <v>23</v>
      </c>
      <c r="G10" s="39" t="s">
        <v>344</v>
      </c>
      <c r="H10" s="10" t="s">
        <v>36</v>
      </c>
      <c r="I10" s="11">
        <v>42783</v>
      </c>
      <c r="J10" s="13" t="s">
        <v>17</v>
      </c>
      <c r="K10" s="13" t="s">
        <v>17</v>
      </c>
      <c r="L10" s="25">
        <v>0</v>
      </c>
      <c r="M10" s="12">
        <v>42901</v>
      </c>
      <c r="N10" s="10" t="s">
        <v>18</v>
      </c>
      <c r="O10" s="10" t="s">
        <v>19</v>
      </c>
      <c r="P10" s="41">
        <v>332600108871</v>
      </c>
      <c r="Q10" s="45"/>
      <c r="R10" s="22" t="str">
        <f>HYPERLINK("https://drive.google.com/open?id=0B3K8v8jgE390WGRET3JEcnRWajQ","Договор")</f>
        <v>Договор</v>
      </c>
      <c r="S10" s="22" t="str">
        <f>HYPERLINK("https://drive.google.com/open?id=0B3K8v8jgE390a24yRzhISXFXZ1k","Документы")</f>
        <v>Документы</v>
      </c>
      <c r="T10" s="15"/>
      <c r="U10" s="15"/>
    </row>
    <row r="11" spans="1:21" ht="78.75">
      <c r="A11" s="16">
        <v>2</v>
      </c>
      <c r="B11" s="10" t="s">
        <v>20</v>
      </c>
      <c r="C11" s="10" t="s">
        <v>22</v>
      </c>
      <c r="D11" s="10" t="s">
        <v>21</v>
      </c>
      <c r="E11" s="10" t="s">
        <v>38</v>
      </c>
      <c r="F11" s="11" t="s">
        <v>27</v>
      </c>
      <c r="G11" s="39" t="s">
        <v>345</v>
      </c>
      <c r="H11" s="10" t="s">
        <v>34</v>
      </c>
      <c r="I11" s="11">
        <v>42793</v>
      </c>
      <c r="J11" s="18">
        <v>1925734.78</v>
      </c>
      <c r="K11" s="13" t="s">
        <v>25</v>
      </c>
      <c r="L11" s="20">
        <v>5.0000000000000001E-3</v>
      </c>
      <c r="M11" s="12">
        <v>42900</v>
      </c>
      <c r="N11" s="10" t="s">
        <v>26</v>
      </c>
      <c r="O11" s="10" t="s">
        <v>28</v>
      </c>
      <c r="P11" s="19">
        <v>3316002190</v>
      </c>
      <c r="Q11" s="5"/>
      <c r="R11" s="22" t="str">
        <f>HYPERLINK("https://drive.google.com/open?id=0B3K8v8jgE390azBRekVVZ3lfR1E","Договор")</f>
        <v>Договор</v>
      </c>
      <c r="S11" s="22" t="str">
        <f>HYPERLINK("https://drive.google.com/open?id=0B3K8v8jgE390XzdOZFdLalY2VWs","Документы")</f>
        <v>Документы</v>
      </c>
      <c r="T11" s="17"/>
      <c r="U11" s="17"/>
    </row>
    <row r="12" spans="1:21" ht="78.75">
      <c r="A12" s="16">
        <v>3</v>
      </c>
      <c r="B12" s="10" t="s">
        <v>20</v>
      </c>
      <c r="C12" s="10" t="s">
        <v>22</v>
      </c>
      <c r="D12" s="10" t="s">
        <v>21</v>
      </c>
      <c r="E12" s="10" t="s">
        <v>39</v>
      </c>
      <c r="F12" s="11" t="s">
        <v>27</v>
      </c>
      <c r="G12" s="39" t="s">
        <v>346</v>
      </c>
      <c r="H12" s="10" t="s">
        <v>29</v>
      </c>
      <c r="I12" s="11">
        <v>42793</v>
      </c>
      <c r="J12" s="18">
        <v>1892928.91</v>
      </c>
      <c r="K12" s="13" t="s">
        <v>30</v>
      </c>
      <c r="L12" s="20">
        <v>0.17</v>
      </c>
      <c r="M12" s="12">
        <v>42908</v>
      </c>
      <c r="N12" s="10" t="s">
        <v>31</v>
      </c>
      <c r="O12" s="10" t="s">
        <v>32</v>
      </c>
      <c r="P12" s="42">
        <v>3304016992</v>
      </c>
      <c r="Q12" s="5"/>
      <c r="R12" s="22" t="str">
        <f>HYPERLINK("https://drive.google.com/open?id=0B3K8v8jgE390bVFyNFhrQjhGcVE","Договор")</f>
        <v>Договор</v>
      </c>
      <c r="S12" s="22" t="str">
        <f>HYPERLINK("https://drive.google.com/open?id=0B3K8v8jgE390N0IwZ0ViLW9wNE0","Документы")</f>
        <v>Документы</v>
      </c>
      <c r="T12" s="17"/>
      <c r="U12" s="17"/>
    </row>
    <row r="13" spans="1:21" ht="78.75">
      <c r="A13" s="8">
        <v>4</v>
      </c>
      <c r="B13" s="10" t="s">
        <v>20</v>
      </c>
      <c r="C13" s="10" t="s">
        <v>22</v>
      </c>
      <c r="D13" s="10" t="s">
        <v>21</v>
      </c>
      <c r="E13" s="10" t="s">
        <v>40</v>
      </c>
      <c r="F13" s="11" t="s">
        <v>27</v>
      </c>
      <c r="G13" s="39" t="s">
        <v>347</v>
      </c>
      <c r="H13" s="10" t="s">
        <v>35</v>
      </c>
      <c r="I13" s="11">
        <v>42793</v>
      </c>
      <c r="J13" s="18">
        <v>2159567.96</v>
      </c>
      <c r="K13" s="13">
        <v>2148770.12</v>
      </c>
      <c r="L13" s="20">
        <v>5.0000000000000001E-3</v>
      </c>
      <c r="M13" s="12">
        <v>42891</v>
      </c>
      <c r="N13" s="10" t="s">
        <v>26</v>
      </c>
      <c r="O13" s="10" t="s">
        <v>28</v>
      </c>
      <c r="P13" s="42">
        <v>3316002190</v>
      </c>
      <c r="Q13" s="5"/>
      <c r="R13" s="22" t="str">
        <f>HYPERLINK("https://drive.google.com/open?id=0B3K8v8jgE390VjhDWFRzbnc3d1U","Договор")</f>
        <v>Договор</v>
      </c>
      <c r="S13" s="22" t="str">
        <f>HYPERLINK("https://drive.google.com/open?id=0B3K8v8jgE390VTNEWjRTUFlqOWs","Документы")</f>
        <v>Документы</v>
      </c>
      <c r="T13" s="5"/>
      <c r="U13" s="5"/>
    </row>
    <row r="14" spans="1:21" ht="78.75">
      <c r="A14" s="8">
        <v>5</v>
      </c>
      <c r="B14" s="10" t="s">
        <v>20</v>
      </c>
      <c r="C14" s="10" t="s">
        <v>22</v>
      </c>
      <c r="D14" s="10" t="s">
        <v>21</v>
      </c>
      <c r="E14" s="10" t="s">
        <v>41</v>
      </c>
      <c r="F14" s="11" t="s">
        <v>27</v>
      </c>
      <c r="G14" s="39" t="s">
        <v>348</v>
      </c>
      <c r="H14" s="10" t="s">
        <v>37</v>
      </c>
      <c r="I14" s="11">
        <v>42793</v>
      </c>
      <c r="J14" s="18">
        <v>1027382.42</v>
      </c>
      <c r="K14" s="18">
        <v>1027382.42</v>
      </c>
      <c r="L14" s="25">
        <v>0</v>
      </c>
      <c r="M14" s="12">
        <v>42878</v>
      </c>
      <c r="N14" s="10" t="s">
        <v>26</v>
      </c>
      <c r="O14" s="10" t="s">
        <v>28</v>
      </c>
      <c r="P14" s="42">
        <v>3316002190</v>
      </c>
      <c r="Q14" s="5"/>
      <c r="R14" s="22" t="str">
        <f>HYPERLINK("https://drive.google.com/open?id=0B3K8v8jgE390U3dLNGhDNS1tY0E","Договор")</f>
        <v>Договор</v>
      </c>
      <c r="S14" s="22" t="str">
        <f>HYPERLINK("https://drive.google.com/open?id=0B3K8v8jgE390eHNORG1Yd3l4Mmc","Документы")</f>
        <v>Документы</v>
      </c>
      <c r="T14" s="5"/>
      <c r="U14" s="5"/>
    </row>
    <row r="15" spans="1:21" ht="78.75">
      <c r="A15" s="8">
        <v>6</v>
      </c>
      <c r="B15" s="10" t="s">
        <v>20</v>
      </c>
      <c r="C15" s="10" t="s">
        <v>22</v>
      </c>
      <c r="D15" s="10" t="s">
        <v>21</v>
      </c>
      <c r="E15" s="10" t="s">
        <v>46</v>
      </c>
      <c r="F15" s="11" t="s">
        <v>63</v>
      </c>
      <c r="G15" s="39" t="s">
        <v>349</v>
      </c>
      <c r="H15" s="12" t="s">
        <v>47</v>
      </c>
      <c r="I15" s="11">
        <v>42793</v>
      </c>
      <c r="J15" s="18">
        <v>3023988.05</v>
      </c>
      <c r="K15" s="18">
        <v>2829852.34</v>
      </c>
      <c r="L15" s="25">
        <v>6.4000000000000001E-2</v>
      </c>
      <c r="M15" s="12">
        <v>42916</v>
      </c>
      <c r="N15" s="12" t="s">
        <v>48</v>
      </c>
      <c r="O15" s="10" t="s">
        <v>49</v>
      </c>
      <c r="P15" s="43">
        <v>332708060752</v>
      </c>
      <c r="Q15" s="5"/>
      <c r="R15" s="22" t="str">
        <f>HYPERLINK("https://drive.google.com/open?id=0B3K8v8jgE390SjgzUUNKRl9LYU0","Договор")</f>
        <v>Договор</v>
      </c>
      <c r="S15" s="22" t="str">
        <f>HYPERLINK("https://drive.google.com/open?id=0B3K8v8jgE390czVjWVNtUDRsZE0","Документы")</f>
        <v>Документы</v>
      </c>
      <c r="T15" s="5"/>
      <c r="U15" s="5"/>
    </row>
    <row r="16" spans="1:21" ht="102.75" customHeight="1">
      <c r="A16" s="8">
        <v>7</v>
      </c>
      <c r="B16" s="10" t="s">
        <v>20</v>
      </c>
      <c r="C16" s="10" t="s">
        <v>22</v>
      </c>
      <c r="D16" s="10" t="s">
        <v>21</v>
      </c>
      <c r="E16" s="10" t="s">
        <v>50</v>
      </c>
      <c r="F16" s="11" t="s">
        <v>51</v>
      </c>
      <c r="G16" s="39" t="s">
        <v>350</v>
      </c>
      <c r="H16" s="24" t="s">
        <v>52</v>
      </c>
      <c r="I16" s="11">
        <v>42671</v>
      </c>
      <c r="J16" s="18">
        <v>4863684.2300000004</v>
      </c>
      <c r="K16" s="18">
        <v>4863684.2300000004</v>
      </c>
      <c r="L16" s="25">
        <v>0</v>
      </c>
      <c r="M16" s="12">
        <v>42998</v>
      </c>
      <c r="N16" s="12" t="s">
        <v>53</v>
      </c>
      <c r="O16" s="10" t="s">
        <v>54</v>
      </c>
      <c r="P16" s="43">
        <v>3329058867</v>
      </c>
      <c r="Q16" s="5"/>
      <c r="R16" s="22" t="str">
        <f>HYPERLINK("https://drive.google.com/open?id=0B3K8v8jgE390VElJTDdCY0hha0U","Договор")</f>
        <v>Договор</v>
      </c>
      <c r="S16" s="22" t="str">
        <f>HYPERLINK("https://drive.google.com/open?id=0B3K8v8jgE390UkVIWmxaeTk1SU0","Документы")</f>
        <v>Документы</v>
      </c>
      <c r="T16" s="5"/>
      <c r="U16" s="5"/>
    </row>
    <row r="17" spans="1:21" ht="131.25" customHeight="1">
      <c r="A17" s="8">
        <v>8</v>
      </c>
      <c r="B17" s="10" t="s">
        <v>20</v>
      </c>
      <c r="C17" s="10" t="s">
        <v>22</v>
      </c>
      <c r="D17" s="10" t="s">
        <v>21</v>
      </c>
      <c r="E17" s="10" t="s">
        <v>55</v>
      </c>
      <c r="F17" s="11" t="s">
        <v>56</v>
      </c>
      <c r="G17" s="39" t="s">
        <v>351</v>
      </c>
      <c r="H17" s="24" t="s">
        <v>57</v>
      </c>
      <c r="I17" s="11">
        <v>42671</v>
      </c>
      <c r="J17" s="18">
        <v>3376068.8</v>
      </c>
      <c r="K17" s="18">
        <v>3152185.56</v>
      </c>
      <c r="L17" s="25">
        <v>6.6000000000000003E-2</v>
      </c>
      <c r="M17" s="12">
        <v>42943</v>
      </c>
      <c r="N17" s="10" t="s">
        <v>31</v>
      </c>
      <c r="O17" s="10" t="s">
        <v>32</v>
      </c>
      <c r="P17" s="42">
        <v>3304016992</v>
      </c>
      <c r="Q17" s="5"/>
      <c r="R17" s="22" t="str">
        <f>HYPERLINK("https://drive.google.com/open?id=0B3K8v8jgE390MnZDcFc0ZFdfdnc","Договор")</f>
        <v>Договор</v>
      </c>
      <c r="S17" s="22" t="str">
        <f>HYPERLINK("https://drive.google.com/open?id=0B3K8v8jgE390a1FpYlY5R1doeDQ","Документы")</f>
        <v>Документы</v>
      </c>
      <c r="T17" s="5"/>
      <c r="U17" s="5"/>
    </row>
    <row r="18" spans="1:21" ht="102.75" customHeight="1">
      <c r="A18" s="8">
        <v>9</v>
      </c>
      <c r="B18" s="10" t="s">
        <v>20</v>
      </c>
      <c r="C18" s="10" t="s">
        <v>22</v>
      </c>
      <c r="D18" s="10" t="s">
        <v>21</v>
      </c>
      <c r="E18" s="10" t="s">
        <v>58</v>
      </c>
      <c r="F18" s="11" t="s">
        <v>59</v>
      </c>
      <c r="G18" s="39" t="s">
        <v>352</v>
      </c>
      <c r="H18" s="24" t="s">
        <v>60</v>
      </c>
      <c r="I18" s="11">
        <v>42793</v>
      </c>
      <c r="J18" s="18">
        <v>1917232.73</v>
      </c>
      <c r="K18" s="18">
        <v>1917232.73</v>
      </c>
      <c r="L18" s="25">
        <v>0</v>
      </c>
      <c r="M18" s="12">
        <v>42920</v>
      </c>
      <c r="N18" s="12" t="s">
        <v>61</v>
      </c>
      <c r="O18" s="10" t="s">
        <v>62</v>
      </c>
      <c r="P18" s="23">
        <v>7715645930</v>
      </c>
      <c r="Q18" s="21"/>
      <c r="R18" s="22" t="str">
        <f>HYPERLINK("https://drive.google.com/open?id=0B3K8v8jgE390dmZVc0hiRGtkMHc","Договор")</f>
        <v>Договор</v>
      </c>
      <c r="S18" s="22" t="str">
        <f>HYPERLINK("https://drive.google.com/open?id=0B3K8v8jgE390Z0VXYklldUJyZTQ","Документы")</f>
        <v>Документы</v>
      </c>
      <c r="T18" s="5"/>
      <c r="U18" s="5"/>
    </row>
    <row r="19" spans="1:21" ht="126">
      <c r="A19" s="8">
        <v>10</v>
      </c>
      <c r="B19" s="10" t="s">
        <v>20</v>
      </c>
      <c r="C19" s="10" t="s">
        <v>22</v>
      </c>
      <c r="D19" s="10" t="s">
        <v>21</v>
      </c>
      <c r="E19" s="10" t="s">
        <v>64</v>
      </c>
      <c r="F19" s="11" t="s">
        <v>65</v>
      </c>
      <c r="G19" s="39" t="s">
        <v>353</v>
      </c>
      <c r="H19" s="24" t="s">
        <v>66</v>
      </c>
      <c r="I19" s="26">
        <v>42793</v>
      </c>
      <c r="J19" s="18" t="s">
        <v>67</v>
      </c>
      <c r="K19" s="18">
        <v>747247.11</v>
      </c>
      <c r="L19" s="25">
        <v>0.246</v>
      </c>
      <c r="M19" s="12">
        <v>42907</v>
      </c>
      <c r="N19" s="12" t="s">
        <v>68</v>
      </c>
      <c r="O19" s="10" t="s">
        <v>69</v>
      </c>
      <c r="P19" s="23">
        <v>3338000849</v>
      </c>
      <c r="Q19" s="5"/>
      <c r="R19" s="22" t="str">
        <f>HYPERLINK("https://drive.google.com/open?id=0B3K8v8jgE390Sl9mQy1VQWRTemM","Договор")</f>
        <v>Договор</v>
      </c>
      <c r="S19" s="22" t="str">
        <f>HYPERLINK("https://drive.google.com/open?id=0B3K8v8jgE390MFlaRkZZdHJhUTA","Документы")</f>
        <v>Документы</v>
      </c>
      <c r="T19" s="5"/>
      <c r="U19" s="5"/>
    </row>
    <row r="20" spans="1:21" ht="283.5">
      <c r="A20" s="8">
        <v>11</v>
      </c>
      <c r="B20" s="10" t="s">
        <v>20</v>
      </c>
      <c r="C20" s="10" t="s">
        <v>22</v>
      </c>
      <c r="D20" s="10" t="s">
        <v>21</v>
      </c>
      <c r="E20" s="10" t="s">
        <v>70</v>
      </c>
      <c r="F20" s="11" t="s">
        <v>71</v>
      </c>
      <c r="G20" s="39" t="s">
        <v>354</v>
      </c>
      <c r="H20" s="24" t="s">
        <v>72</v>
      </c>
      <c r="I20" s="11">
        <v>42844</v>
      </c>
      <c r="J20" s="18">
        <v>563119.18000000005</v>
      </c>
      <c r="K20" s="18">
        <v>563119.18000000005</v>
      </c>
      <c r="L20" s="25">
        <v>0</v>
      </c>
      <c r="M20" s="12" t="s">
        <v>73</v>
      </c>
      <c r="N20" s="12" t="s">
        <v>74</v>
      </c>
      <c r="O20" s="10" t="s">
        <v>75</v>
      </c>
      <c r="P20" s="23">
        <v>4345342965</v>
      </c>
      <c r="Q20" s="5"/>
      <c r="R20" s="22" t="str">
        <f>HYPERLINK("https://drive.google.com/open?id=0B3K8v8jgE390SWJESmVsMVg0SGM","Договор")</f>
        <v>Договор</v>
      </c>
      <c r="S20" s="22" t="str">
        <f>HYPERLINK("https://drive.google.com/open?id=1dZCpOyHK_UUpqrCOkubMygQPX1mS-WnR","Документы")</f>
        <v>Документы</v>
      </c>
      <c r="T20" s="5"/>
      <c r="U20" s="5"/>
    </row>
    <row r="21" spans="1:21" ht="220.5">
      <c r="A21" s="8">
        <v>12</v>
      </c>
      <c r="B21" s="10" t="s">
        <v>20</v>
      </c>
      <c r="C21" s="10" t="s">
        <v>22</v>
      </c>
      <c r="D21" s="10" t="s">
        <v>21</v>
      </c>
      <c r="E21" s="10" t="s">
        <v>76</v>
      </c>
      <c r="F21" s="11" t="s">
        <v>77</v>
      </c>
      <c r="G21" s="39" t="s">
        <v>355</v>
      </c>
      <c r="H21" s="24" t="s">
        <v>78</v>
      </c>
      <c r="I21" s="11">
        <v>42844</v>
      </c>
      <c r="J21" s="18">
        <v>262944.63</v>
      </c>
      <c r="K21" s="18">
        <v>262944.63</v>
      </c>
      <c r="L21" s="25">
        <v>0</v>
      </c>
      <c r="M21" s="12" t="s">
        <v>73</v>
      </c>
      <c r="N21" s="12" t="s">
        <v>74</v>
      </c>
      <c r="O21" s="10" t="s">
        <v>75</v>
      </c>
      <c r="P21" s="23">
        <v>4345342965</v>
      </c>
      <c r="Q21" s="5"/>
      <c r="R21" s="22" t="str">
        <f>HYPERLINK("https://drive.google.com/open?id=0B3K8v8jgE390QUs5c1dVZ1paZzQ","Договор")</f>
        <v>Договор</v>
      </c>
      <c r="S21" s="22" t="str">
        <f>HYPERLINK("https://drive.google.com/open?id=1JaydI4o1sLsmLZVHFq422DI_9HJ0P6qE","Документы")</f>
        <v>Документы</v>
      </c>
      <c r="T21" s="5"/>
      <c r="U21" s="5"/>
    </row>
    <row r="22" spans="1:21" ht="189">
      <c r="A22" s="8">
        <v>13</v>
      </c>
      <c r="B22" s="10" t="s">
        <v>20</v>
      </c>
      <c r="C22" s="10" t="s">
        <v>22</v>
      </c>
      <c r="D22" s="10" t="s">
        <v>21</v>
      </c>
      <c r="E22" s="10" t="s">
        <v>79</v>
      </c>
      <c r="F22" s="11" t="s">
        <v>80</v>
      </c>
      <c r="G22" s="39" t="s">
        <v>356</v>
      </c>
      <c r="H22" s="24" t="s">
        <v>81</v>
      </c>
      <c r="I22" s="11">
        <v>42844</v>
      </c>
      <c r="J22" s="18">
        <v>436043.58</v>
      </c>
      <c r="K22" s="18">
        <v>436043.58</v>
      </c>
      <c r="L22" s="25">
        <v>0</v>
      </c>
      <c r="M22" s="12" t="s">
        <v>73</v>
      </c>
      <c r="N22" s="12" t="s">
        <v>74</v>
      </c>
      <c r="O22" s="10" t="s">
        <v>75</v>
      </c>
      <c r="P22" s="23">
        <v>4345342965</v>
      </c>
      <c r="Q22" s="5"/>
      <c r="R22" s="22" t="str">
        <f>HYPERLINK("https://drive.google.com/open?id=0B3K8v8jgE390VVZjUVRBdGhCaFU","Договор")</f>
        <v>Договор</v>
      </c>
      <c r="S22" s="22" t="str">
        <f>HYPERLINK("https://drive.google.com/open?id=1WhGDYhu02z76hRdJCIapEPZMUFooQrmJ","Документы")</f>
        <v>Документы</v>
      </c>
      <c r="T22" s="5"/>
      <c r="U22" s="5"/>
    </row>
    <row r="23" spans="1:21" ht="220.5">
      <c r="A23" s="8">
        <v>14</v>
      </c>
      <c r="B23" s="10" t="s">
        <v>20</v>
      </c>
      <c r="C23" s="10" t="s">
        <v>22</v>
      </c>
      <c r="D23" s="10" t="s">
        <v>21</v>
      </c>
      <c r="E23" s="10" t="s">
        <v>82</v>
      </c>
      <c r="F23" s="11" t="s">
        <v>83</v>
      </c>
      <c r="G23" s="39" t="s">
        <v>357</v>
      </c>
      <c r="H23" s="24" t="s">
        <v>84</v>
      </c>
      <c r="I23" s="11">
        <v>42844</v>
      </c>
      <c r="J23" s="18">
        <v>541787.6</v>
      </c>
      <c r="K23" s="18">
        <v>541787.6</v>
      </c>
      <c r="L23" s="25">
        <v>0</v>
      </c>
      <c r="M23" s="12" t="s">
        <v>73</v>
      </c>
      <c r="N23" s="12" t="s">
        <v>74</v>
      </c>
      <c r="O23" s="10" t="s">
        <v>75</v>
      </c>
      <c r="P23" s="23">
        <v>4345342965</v>
      </c>
      <c r="Q23" s="5"/>
      <c r="R23" s="22" t="str">
        <f>HYPERLINK("https://drive.google.com/open?id=0B3K8v8jgE390NlRraG9mUWtPTjA","Договор")</f>
        <v>Договор</v>
      </c>
      <c r="S23" s="22" t="str">
        <f>HYPERLINK("https://drive.google.com/open?id=1TYS9-gK_-qjXI_EH-ujfe_eP-VvupdfC","Документы")</f>
        <v>Документы</v>
      </c>
      <c r="T23" s="5"/>
      <c r="U23" s="5"/>
    </row>
    <row r="24" spans="1:21" ht="267.75">
      <c r="A24" s="8">
        <v>15</v>
      </c>
      <c r="B24" s="10" t="s">
        <v>20</v>
      </c>
      <c r="C24" s="10" t="s">
        <v>22</v>
      </c>
      <c r="D24" s="10" t="s">
        <v>21</v>
      </c>
      <c r="E24" s="10" t="s">
        <v>85</v>
      </c>
      <c r="F24" s="11" t="s">
        <v>86</v>
      </c>
      <c r="G24" s="39" t="s">
        <v>890</v>
      </c>
      <c r="H24" s="24" t="s">
        <v>87</v>
      </c>
      <c r="I24" s="11">
        <v>42844</v>
      </c>
      <c r="J24" s="18">
        <v>348230.94</v>
      </c>
      <c r="K24" s="18">
        <v>348230.94</v>
      </c>
      <c r="L24" s="25">
        <v>0</v>
      </c>
      <c r="M24" s="12" t="s">
        <v>73</v>
      </c>
      <c r="N24" s="12" t="s">
        <v>74</v>
      </c>
      <c r="O24" s="10" t="s">
        <v>75</v>
      </c>
      <c r="P24" s="23">
        <v>4345342965</v>
      </c>
      <c r="Q24" s="5"/>
      <c r="R24" s="22" t="str">
        <f>HYPERLINK("https://drive.google.com/open?id=0B3K8v8jgE390alhOLVotVF9SY00","Договор")</f>
        <v>Договор</v>
      </c>
      <c r="S24" s="22" t="str">
        <f>HYPERLINK("https://drive.google.com/open?id=1TjiZUE8HjslV-64yDvpdJzdbVsHOdSt9","Документы")</f>
        <v>Документы</v>
      </c>
      <c r="T24" s="5"/>
      <c r="U24" s="5"/>
    </row>
    <row r="25" spans="1:21" ht="204.75">
      <c r="A25" s="8">
        <v>16</v>
      </c>
      <c r="B25" s="10" t="s">
        <v>20</v>
      </c>
      <c r="C25" s="10" t="s">
        <v>22</v>
      </c>
      <c r="D25" s="10" t="s">
        <v>21</v>
      </c>
      <c r="E25" s="10" t="s">
        <v>88</v>
      </c>
      <c r="F25" s="11" t="s">
        <v>89</v>
      </c>
      <c r="G25" s="39" t="s">
        <v>358</v>
      </c>
      <c r="H25" s="24" t="s">
        <v>90</v>
      </c>
      <c r="I25" s="11">
        <v>42779</v>
      </c>
      <c r="J25" s="18">
        <v>403120.2</v>
      </c>
      <c r="K25" s="18">
        <v>401106.6</v>
      </c>
      <c r="L25" s="25">
        <v>5.0000000000000001E-3</v>
      </c>
      <c r="M25" s="12" t="s">
        <v>91</v>
      </c>
      <c r="N25" s="12" t="s">
        <v>92</v>
      </c>
      <c r="O25" s="10" t="s">
        <v>93</v>
      </c>
      <c r="P25" s="23">
        <v>3327100418</v>
      </c>
      <c r="Q25" s="5"/>
      <c r="R25" s="22" t="str">
        <f>HYPERLINK("https://drive.google.com/open?id=0B3K8v8jgE390VUJnRUFkb2lGMXc","Договор")</f>
        <v>Договор</v>
      </c>
      <c r="S25" s="22" t="str">
        <f>HYPERLINK("https://drive.google.com/open?id=1C7bU1JyUIA01FWXLe66g3uZTBg-ERrl7","Документы")</f>
        <v>Документы</v>
      </c>
      <c r="T25" s="5"/>
      <c r="U25" s="5"/>
    </row>
    <row r="26" spans="1:21" ht="283.5">
      <c r="A26" s="8">
        <v>17</v>
      </c>
      <c r="B26" s="10" t="s">
        <v>20</v>
      </c>
      <c r="C26" s="10" t="s">
        <v>22</v>
      </c>
      <c r="D26" s="10" t="s">
        <v>21</v>
      </c>
      <c r="E26" s="10" t="s">
        <v>94</v>
      </c>
      <c r="F26" s="11" t="s">
        <v>95</v>
      </c>
      <c r="G26" s="39" t="s">
        <v>359</v>
      </c>
      <c r="H26" s="24" t="s">
        <v>96</v>
      </c>
      <c r="I26" s="11">
        <v>42779</v>
      </c>
      <c r="J26" s="18">
        <v>454499.06</v>
      </c>
      <c r="K26" s="18">
        <v>452226.56</v>
      </c>
      <c r="L26" s="25">
        <v>5.0000000000000001E-3</v>
      </c>
      <c r="M26" s="12" t="s">
        <v>73</v>
      </c>
      <c r="N26" s="12" t="s">
        <v>92</v>
      </c>
      <c r="O26" s="10" t="s">
        <v>93</v>
      </c>
      <c r="P26" s="23">
        <v>3327100418</v>
      </c>
      <c r="Q26" s="5"/>
      <c r="R26" s="22" t="str">
        <f>HYPERLINK("https://drive.google.com/open?id=0B3K8v8jgE390MWtJdk9DRTd3d1k","Договор")</f>
        <v>Договор</v>
      </c>
      <c r="S26" s="22" t="str">
        <f>HYPERLINK("https://drive.google.com/open?id=1XtNIhuN2c77fRUfCNDIk6hVAGnWtsa7S","Документы")</f>
        <v>Документы</v>
      </c>
      <c r="T26" s="5"/>
      <c r="U26" s="5"/>
    </row>
    <row r="27" spans="1:21" ht="252">
      <c r="A27" s="8">
        <v>18</v>
      </c>
      <c r="B27" s="10" t="s">
        <v>20</v>
      </c>
      <c r="C27" s="10" t="s">
        <v>22</v>
      </c>
      <c r="D27" s="10" t="s">
        <v>21</v>
      </c>
      <c r="E27" s="10" t="s">
        <v>97</v>
      </c>
      <c r="F27" s="11" t="s">
        <v>98</v>
      </c>
      <c r="G27" s="39" t="s">
        <v>360</v>
      </c>
      <c r="H27" s="24" t="s">
        <v>99</v>
      </c>
      <c r="I27" s="11">
        <v>42779</v>
      </c>
      <c r="J27" s="18">
        <v>627568.96</v>
      </c>
      <c r="K27" s="18">
        <v>627568.96</v>
      </c>
      <c r="L27" s="25">
        <v>0</v>
      </c>
      <c r="M27" s="12" t="s">
        <v>100</v>
      </c>
      <c r="N27" s="12" t="s">
        <v>101</v>
      </c>
      <c r="O27" s="10" t="s">
        <v>102</v>
      </c>
      <c r="P27" s="23">
        <v>3328401520</v>
      </c>
      <c r="Q27" s="21"/>
      <c r="R27" s="22" t="str">
        <f>HYPERLINK("https://drive.google.com/open?id=0B3K8v8jgE390a0E1REJhcGowTXM","Договор")</f>
        <v>Договор</v>
      </c>
      <c r="S27" s="22" t="str">
        <f>HYPERLINK("https://drive.google.com/open?id=1K9CwIqh3rfAy4DrJc1jOiGsXNrWNwJ2p","Документы")</f>
        <v>Документы</v>
      </c>
      <c r="T27" s="5"/>
      <c r="U27" s="5"/>
    </row>
    <row r="28" spans="1:21" ht="94.5">
      <c r="A28" s="8">
        <v>19</v>
      </c>
      <c r="B28" s="10" t="s">
        <v>20</v>
      </c>
      <c r="C28" s="10" t="s">
        <v>22</v>
      </c>
      <c r="D28" s="10" t="s">
        <v>21</v>
      </c>
      <c r="E28" s="10" t="s">
        <v>103</v>
      </c>
      <c r="F28" s="11" t="s">
        <v>104</v>
      </c>
      <c r="G28" s="39" t="s">
        <v>361</v>
      </c>
      <c r="H28" s="24" t="s">
        <v>105</v>
      </c>
      <c r="I28" s="11">
        <v>42793</v>
      </c>
      <c r="J28" s="27" t="s">
        <v>106</v>
      </c>
      <c r="K28" s="27" t="s">
        <v>106</v>
      </c>
      <c r="L28" s="25">
        <v>0</v>
      </c>
      <c r="M28" s="12">
        <v>42777</v>
      </c>
      <c r="N28" s="10" t="s">
        <v>26</v>
      </c>
      <c r="O28" s="10" t="s">
        <v>28</v>
      </c>
      <c r="P28" s="21">
        <v>3316002190</v>
      </c>
      <c r="Q28" s="5"/>
      <c r="R28" s="22" t="str">
        <f>HYPERLINK("https://drive.google.com/open?id=0B3K8v8jgE390akRDLTdsMENHOTg","Договор")</f>
        <v>Договор</v>
      </c>
      <c r="S28" s="5"/>
      <c r="T28" s="5"/>
      <c r="U28" s="5"/>
    </row>
    <row r="29" spans="1:21" ht="126">
      <c r="A29" s="8">
        <v>20</v>
      </c>
      <c r="B29" s="10" t="s">
        <v>20</v>
      </c>
      <c r="C29" s="10" t="s">
        <v>22</v>
      </c>
      <c r="D29" s="10" t="s">
        <v>21</v>
      </c>
      <c r="E29" s="10" t="s">
        <v>107</v>
      </c>
      <c r="F29" s="11" t="s">
        <v>108</v>
      </c>
      <c r="G29" s="39" t="s">
        <v>362</v>
      </c>
      <c r="H29" s="24" t="s">
        <v>109</v>
      </c>
      <c r="I29" s="11">
        <v>42783</v>
      </c>
      <c r="J29" s="18">
        <v>942294.99</v>
      </c>
      <c r="K29" s="18">
        <v>942294.99</v>
      </c>
      <c r="L29" s="25">
        <v>0</v>
      </c>
      <c r="M29" s="12">
        <v>42930</v>
      </c>
      <c r="N29" s="12" t="s">
        <v>110</v>
      </c>
      <c r="O29" s="10" t="s">
        <v>111</v>
      </c>
      <c r="P29" s="23">
        <v>3301023367</v>
      </c>
      <c r="Q29" s="5"/>
      <c r="R29" s="22" t="str">
        <f>HYPERLINK("https://drive.google.com/open?id=0B3K8v8jgE390TnM3d3l2NmhMVmc","Договор")</f>
        <v>Договор</v>
      </c>
      <c r="S29" s="22" t="str">
        <f>HYPERLINK("https://drive.google.com/open?id=0B3K8v8jgE390REVBS3JGQ05Ud0U","Документы")</f>
        <v>Документы</v>
      </c>
      <c r="T29" s="5"/>
      <c r="U29" s="5"/>
    </row>
    <row r="30" spans="1:21" ht="94.5">
      <c r="A30" s="8">
        <v>21</v>
      </c>
      <c r="B30" s="10" t="s">
        <v>20</v>
      </c>
      <c r="C30" s="10" t="s">
        <v>22</v>
      </c>
      <c r="D30" s="10" t="s">
        <v>21</v>
      </c>
      <c r="E30" s="10" t="s">
        <v>112</v>
      </c>
      <c r="F30" s="11" t="s">
        <v>113</v>
      </c>
      <c r="G30" s="39" t="s">
        <v>363</v>
      </c>
      <c r="H30" s="24" t="s">
        <v>114</v>
      </c>
      <c r="I30" s="11">
        <v>42793</v>
      </c>
      <c r="J30" s="18">
        <v>584683.48</v>
      </c>
      <c r="K30" s="18">
        <v>584683.48</v>
      </c>
      <c r="L30" s="25">
        <v>0</v>
      </c>
      <c r="M30" s="12">
        <v>42915</v>
      </c>
      <c r="N30" s="12" t="s">
        <v>115</v>
      </c>
      <c r="O30" s="10" t="s">
        <v>116</v>
      </c>
      <c r="P30" s="23">
        <v>3326000435</v>
      </c>
      <c r="Q30" s="5"/>
      <c r="R30" s="22" t="str">
        <f>HYPERLINK("https://drive.google.com/open?id=0B3K8v8jgE390ZmFlcWxvT00wZ2M","Договор")</f>
        <v>Договор</v>
      </c>
      <c r="S30" s="22" t="str">
        <f>HYPERLINK("https://drive.google.com/open?id=0B3K8v8jgE390aDYyNDNqeFViazg","Документы")</f>
        <v>Документы</v>
      </c>
      <c r="T30" s="5"/>
      <c r="U30" s="5"/>
    </row>
    <row r="31" spans="1:21" ht="94.5">
      <c r="A31" s="8">
        <v>22</v>
      </c>
      <c r="B31" s="10" t="s">
        <v>20</v>
      </c>
      <c r="C31" s="10" t="s">
        <v>22</v>
      </c>
      <c r="D31" s="10" t="s">
        <v>21</v>
      </c>
      <c r="E31" s="10" t="s">
        <v>117</v>
      </c>
      <c r="F31" s="11" t="s">
        <v>118</v>
      </c>
      <c r="G31" s="39" t="s">
        <v>364</v>
      </c>
      <c r="H31" s="24" t="s">
        <v>119</v>
      </c>
      <c r="I31" s="26">
        <v>42793</v>
      </c>
      <c r="J31" s="27">
        <v>701368.98</v>
      </c>
      <c r="K31" s="18">
        <v>666725.64</v>
      </c>
      <c r="L31" s="25">
        <v>5.0000000000000001E-3</v>
      </c>
      <c r="M31" s="12">
        <v>42922</v>
      </c>
      <c r="N31" s="12" t="s">
        <v>120</v>
      </c>
      <c r="O31" s="10" t="s">
        <v>121</v>
      </c>
      <c r="P31" s="23">
        <v>3305713379</v>
      </c>
      <c r="Q31" s="5"/>
      <c r="R31" s="22" t="str">
        <f>HYPERLINK("https://drive.google.com/open?id=0B3K8v8jgE390SGMwT3ZxV3FmNnM","Договор")</f>
        <v>Договор</v>
      </c>
      <c r="S31" s="22" t="str">
        <f>HYPERLINK("https://drive.google.com/open?id=0B3K8v8jgE390YTgyYTVTNzhxY2s","Документы")</f>
        <v>Документы</v>
      </c>
      <c r="T31" s="5"/>
      <c r="U31" s="5"/>
    </row>
    <row r="32" spans="1:21" ht="126">
      <c r="A32" s="8">
        <v>23</v>
      </c>
      <c r="B32" s="10" t="s">
        <v>20</v>
      </c>
      <c r="C32" s="10" t="s">
        <v>22</v>
      </c>
      <c r="D32" s="10" t="s">
        <v>21</v>
      </c>
      <c r="E32" s="10" t="s">
        <v>122</v>
      </c>
      <c r="F32" s="11" t="s">
        <v>123</v>
      </c>
      <c r="G32" s="39" t="s">
        <v>365</v>
      </c>
      <c r="H32" s="24" t="s">
        <v>124</v>
      </c>
      <c r="I32" s="26">
        <v>42793</v>
      </c>
      <c r="J32" s="18">
        <v>1321723.05</v>
      </c>
      <c r="K32" s="18">
        <v>2029180.6</v>
      </c>
      <c r="L32" s="25">
        <v>0</v>
      </c>
      <c r="M32" s="12">
        <v>42935</v>
      </c>
      <c r="N32" s="12" t="s">
        <v>125</v>
      </c>
      <c r="O32" s="10" t="s">
        <v>126</v>
      </c>
      <c r="P32" s="23">
        <v>332400472150</v>
      </c>
      <c r="Q32" s="5"/>
      <c r="R32" s="22" t="str">
        <f>HYPERLINK("https://drive.google.com/open?id=0B3K8v8jgE390SG1CMkhIcTZTdU0","Договор")</f>
        <v>Договор</v>
      </c>
      <c r="S32" s="22" t="str">
        <f>HYPERLINK("https://drive.google.com/open?id=0B3K8v8jgE390Z3RKSjQ1X0ZodE0","Документы")</f>
        <v>Документы</v>
      </c>
      <c r="T32" s="5"/>
      <c r="U32" s="5"/>
    </row>
    <row r="33" spans="1:21" ht="113.25" customHeight="1">
      <c r="A33" s="8">
        <v>24</v>
      </c>
      <c r="B33" s="10" t="s">
        <v>20</v>
      </c>
      <c r="C33" s="10" t="s">
        <v>22</v>
      </c>
      <c r="D33" s="10" t="s">
        <v>21</v>
      </c>
      <c r="E33" s="10" t="s">
        <v>127</v>
      </c>
      <c r="F33" s="11" t="s">
        <v>128</v>
      </c>
      <c r="G33" s="39" t="s">
        <v>366</v>
      </c>
      <c r="H33" s="24" t="s">
        <v>129</v>
      </c>
      <c r="I33" s="11">
        <v>42783</v>
      </c>
      <c r="J33" s="18">
        <v>348077.93</v>
      </c>
      <c r="K33" s="18">
        <v>320939.19</v>
      </c>
      <c r="L33" s="25" t="s">
        <v>130</v>
      </c>
      <c r="M33" s="12">
        <v>42565</v>
      </c>
      <c r="N33" s="10" t="s">
        <v>18</v>
      </c>
      <c r="O33" s="10" t="s">
        <v>19</v>
      </c>
      <c r="P33" s="14">
        <v>332600108871</v>
      </c>
      <c r="Q33" s="21"/>
      <c r="R33" s="22" t="str">
        <f>HYPERLINK("https://drive.google.com/open?id=0B3K8v8jgE390MjdiZ2Rua0NsSU0","Договор")</f>
        <v>Договор</v>
      </c>
      <c r="S33" s="22" t="str">
        <f>HYPERLINK("https://drive.google.com/open?id=0B3K8v8jgE390bGh4VHl1YU5iRE0","Документы")</f>
        <v>Документы</v>
      </c>
      <c r="T33" s="5"/>
      <c r="U33" s="5"/>
    </row>
    <row r="34" spans="1:21" ht="103.5" customHeight="1">
      <c r="A34" s="8">
        <v>25</v>
      </c>
      <c r="B34" s="10" t="s">
        <v>20</v>
      </c>
      <c r="C34" s="10" t="s">
        <v>22</v>
      </c>
      <c r="D34" s="10" t="s">
        <v>21</v>
      </c>
      <c r="E34" s="10" t="s">
        <v>131</v>
      </c>
      <c r="F34" s="11" t="s">
        <v>132</v>
      </c>
      <c r="G34" s="39" t="s">
        <v>367</v>
      </c>
      <c r="H34" s="24" t="s">
        <v>133</v>
      </c>
      <c r="I34" s="26">
        <v>42793</v>
      </c>
      <c r="J34" s="18">
        <v>5917843.8600000003</v>
      </c>
      <c r="K34" s="18">
        <v>5474772.5800000001</v>
      </c>
      <c r="L34" s="25" t="s">
        <v>134</v>
      </c>
      <c r="M34" s="12">
        <v>43042</v>
      </c>
      <c r="N34" s="12" t="s">
        <v>120</v>
      </c>
      <c r="O34" s="10" t="s">
        <v>121</v>
      </c>
      <c r="P34" s="23">
        <v>3305713379</v>
      </c>
      <c r="Q34" s="21"/>
      <c r="R34" s="22" t="str">
        <f>HYPERLINK("https://drive.google.com/open?id=0B3K8v8jgE390MFktaTRYSVBWSjQ","Договор")</f>
        <v>Договор</v>
      </c>
      <c r="S34" s="22" t="str">
        <f>HYPERLINK("https://drive.google.com/open?id=1pEEIHGEwNGuP_m_UnOLJqFFMdZLu2i0W","Документы")</f>
        <v>Документы</v>
      </c>
      <c r="T34" s="5"/>
      <c r="U34" s="5"/>
    </row>
    <row r="35" spans="1:21" ht="90" customHeight="1">
      <c r="A35" s="8">
        <v>26</v>
      </c>
      <c r="B35" s="10" t="s">
        <v>20</v>
      </c>
      <c r="C35" s="10" t="s">
        <v>22</v>
      </c>
      <c r="D35" s="10" t="s">
        <v>21</v>
      </c>
      <c r="E35" s="10" t="s">
        <v>135</v>
      </c>
      <c r="F35" s="11" t="s">
        <v>136</v>
      </c>
      <c r="G35" s="39" t="s">
        <v>368</v>
      </c>
      <c r="H35" s="24" t="s">
        <v>137</v>
      </c>
      <c r="I35" s="26">
        <v>42793</v>
      </c>
      <c r="J35" s="18">
        <v>934647.32</v>
      </c>
      <c r="K35" s="18">
        <v>731862.02</v>
      </c>
      <c r="L35" s="25" t="s">
        <v>138</v>
      </c>
      <c r="M35" s="12">
        <v>42932</v>
      </c>
      <c r="N35" s="12" t="s">
        <v>125</v>
      </c>
      <c r="O35" s="10" t="s">
        <v>126</v>
      </c>
      <c r="P35" s="23">
        <v>332400472150</v>
      </c>
      <c r="Q35" s="21"/>
      <c r="R35" s="22" t="str">
        <f>HYPERLINK("https://drive.google.com/open?id=0B3K8v8jgE390NTFxdmd6QVBmUkU","Договор")</f>
        <v>Договор</v>
      </c>
      <c r="S35" s="22" t="str">
        <f>HYPERLINK("https://drive.google.com/open?id=0B3K8v8jgE390SnJtdHA1MEFjb0U","Документы")</f>
        <v>Документы</v>
      </c>
      <c r="T35" s="5"/>
      <c r="U35" s="5"/>
    </row>
    <row r="36" spans="1:21" ht="99.75" customHeight="1">
      <c r="A36" s="8">
        <v>27</v>
      </c>
      <c r="B36" s="10" t="s">
        <v>20</v>
      </c>
      <c r="C36" s="10" t="s">
        <v>22</v>
      </c>
      <c r="D36" s="10" t="s">
        <v>21</v>
      </c>
      <c r="E36" s="10" t="s">
        <v>139</v>
      </c>
      <c r="F36" s="11" t="s">
        <v>140</v>
      </c>
      <c r="G36" s="39" t="s">
        <v>369</v>
      </c>
      <c r="H36" s="24" t="s">
        <v>141</v>
      </c>
      <c r="I36" s="11">
        <v>42793</v>
      </c>
      <c r="J36" s="18">
        <v>727039.35</v>
      </c>
      <c r="K36" s="18">
        <v>679285</v>
      </c>
      <c r="L36" s="25" t="s">
        <v>130</v>
      </c>
      <c r="M36" s="12">
        <v>42940</v>
      </c>
      <c r="N36" s="10" t="s">
        <v>31</v>
      </c>
      <c r="O36" s="10" t="s">
        <v>32</v>
      </c>
      <c r="P36" s="21">
        <v>3304016992</v>
      </c>
      <c r="Q36" s="21"/>
      <c r="R36" s="22" t="str">
        <f>HYPERLINK("https://drive.google.com/open?id=0B3K8v8jgE390UjE1N05SbDFoaUU","Договор")</f>
        <v>Договор</v>
      </c>
      <c r="S36" s="22" t="str">
        <f>HYPERLINK("https://drive.google.com/open?id=0B3K8v8jgE390emFYYVVNYWh5N0E","Документы")</f>
        <v>Документы</v>
      </c>
      <c r="T36" s="5"/>
      <c r="U36" s="5"/>
    </row>
    <row r="37" spans="1:21" s="31" customFormat="1" ht="409.5">
      <c r="A37" s="8">
        <v>28</v>
      </c>
      <c r="B37" s="10" t="s">
        <v>20</v>
      </c>
      <c r="C37" s="10" t="s">
        <v>22</v>
      </c>
      <c r="D37" s="10" t="s">
        <v>21</v>
      </c>
      <c r="E37" s="10" t="s">
        <v>142</v>
      </c>
      <c r="F37" s="11" t="s">
        <v>143</v>
      </c>
      <c r="G37" s="39" t="s">
        <v>370</v>
      </c>
      <c r="H37" s="12" t="s">
        <v>144</v>
      </c>
      <c r="I37" s="11">
        <v>42874</v>
      </c>
      <c r="J37" s="27">
        <v>527158.93000000005</v>
      </c>
      <c r="K37" s="27">
        <v>446744.85</v>
      </c>
      <c r="L37" s="25">
        <v>0</v>
      </c>
      <c r="M37" s="12" t="s">
        <v>100</v>
      </c>
      <c r="N37" s="12" t="s">
        <v>145</v>
      </c>
      <c r="O37" s="10" t="s">
        <v>146</v>
      </c>
      <c r="P37" s="28">
        <v>3329035500</v>
      </c>
      <c r="Q37" s="29"/>
      <c r="R37" s="22" t="str">
        <f>HYPERLINK("https://drive.google.com/open?id=0B3K8v8jgE390RHJWRy1mNUlFUEE","Договор")</f>
        <v>Договор</v>
      </c>
      <c r="S37" s="22" t="str">
        <f>HYPERLINK("https://drive.google.com/open?id=1QMpMYlDmqDOu7uTd-w5Rgs6pYuREm1YX","Документы")</f>
        <v>Документы</v>
      </c>
      <c r="T37" s="30"/>
      <c r="U37" s="30"/>
    </row>
    <row r="38" spans="1:21" ht="409.5">
      <c r="A38" s="8">
        <v>29</v>
      </c>
      <c r="B38" s="10" t="s">
        <v>20</v>
      </c>
      <c r="C38" s="10" t="s">
        <v>22</v>
      </c>
      <c r="D38" s="10" t="s">
        <v>21</v>
      </c>
      <c r="E38" s="10" t="s">
        <v>147</v>
      </c>
      <c r="F38" s="11" t="s">
        <v>148</v>
      </c>
      <c r="G38" s="39" t="s">
        <v>371</v>
      </c>
      <c r="H38" s="24" t="s">
        <v>149</v>
      </c>
      <c r="I38" s="11">
        <v>42874</v>
      </c>
      <c r="J38" s="18">
        <v>585183.54</v>
      </c>
      <c r="K38" s="18">
        <v>495918.25</v>
      </c>
      <c r="L38" s="25">
        <v>0</v>
      </c>
      <c r="M38" s="12" t="s">
        <v>100</v>
      </c>
      <c r="N38" s="12" t="s">
        <v>145</v>
      </c>
      <c r="O38" s="10" t="s">
        <v>146</v>
      </c>
      <c r="P38" s="28">
        <v>3329035500</v>
      </c>
      <c r="Q38" s="21"/>
      <c r="R38" s="22" t="str">
        <f>HYPERLINK("https://drive.google.com/open?id=0B3K8v8jgE390cDhFVzNmelBfbjA","Договор")</f>
        <v>Договор</v>
      </c>
      <c r="S38" s="22" t="str">
        <f>HYPERLINK("https://drive.google.com/open?id=1Ytxut5AM7nSgAnV5w_u-Fe1KgG_9zdhN","Документы")</f>
        <v>Документы</v>
      </c>
      <c r="T38" s="5"/>
      <c r="U38" s="5"/>
    </row>
    <row r="39" spans="1:21" ht="409.5">
      <c r="A39" s="8">
        <v>30</v>
      </c>
      <c r="B39" s="10" t="s">
        <v>20</v>
      </c>
      <c r="C39" s="10" t="s">
        <v>22</v>
      </c>
      <c r="D39" s="10" t="s">
        <v>21</v>
      </c>
      <c r="E39" s="10" t="s">
        <v>150</v>
      </c>
      <c r="F39" s="11" t="s">
        <v>151</v>
      </c>
      <c r="G39" s="39">
        <v>42902</v>
      </c>
      <c r="H39" s="24" t="s">
        <v>152</v>
      </c>
      <c r="I39" s="11">
        <v>42874</v>
      </c>
      <c r="J39" s="18">
        <v>862312.41</v>
      </c>
      <c r="K39" s="18">
        <v>730773.22</v>
      </c>
      <c r="L39" s="25">
        <v>0</v>
      </c>
      <c r="M39" s="12" t="s">
        <v>100</v>
      </c>
      <c r="N39" s="12" t="s">
        <v>145</v>
      </c>
      <c r="O39" s="10" t="s">
        <v>146</v>
      </c>
      <c r="P39" s="28">
        <v>3329035500</v>
      </c>
      <c r="Q39" s="21"/>
      <c r="R39" s="22" t="str">
        <f>HYPERLINK("https://drive.google.com/open?id=0B3K8v8jgE390OVZ2dlNPQ0hHaGs","Договор")</f>
        <v>Договор</v>
      </c>
      <c r="S39" s="22" t="str">
        <f>HYPERLINK("https://drive.google.com/open?id=1HwOWZURI9_0sSXrxlfAl0nGUr2ov0wjM","Документы")</f>
        <v>Документы</v>
      </c>
      <c r="T39" s="5"/>
      <c r="U39" s="5"/>
    </row>
    <row r="40" spans="1:21" ht="252">
      <c r="A40" s="8">
        <v>31</v>
      </c>
      <c r="B40" s="10" t="s">
        <v>20</v>
      </c>
      <c r="C40" s="10" t="s">
        <v>22</v>
      </c>
      <c r="D40" s="10" t="s">
        <v>21</v>
      </c>
      <c r="E40" s="10" t="s">
        <v>153</v>
      </c>
      <c r="F40" s="11" t="s">
        <v>154</v>
      </c>
      <c r="G40" s="39" t="s">
        <v>372</v>
      </c>
      <c r="H40" s="24" t="s">
        <v>155</v>
      </c>
      <c r="I40" s="11">
        <v>42874</v>
      </c>
      <c r="J40" s="18">
        <v>235775.89</v>
      </c>
      <c r="K40" s="18">
        <v>199810.07</v>
      </c>
      <c r="L40" s="25">
        <v>0</v>
      </c>
      <c r="M40" s="12" t="s">
        <v>156</v>
      </c>
      <c r="N40" s="12" t="s">
        <v>145</v>
      </c>
      <c r="O40" s="10" t="s">
        <v>146</v>
      </c>
      <c r="P40" s="28">
        <v>3329035500</v>
      </c>
      <c r="Q40" s="21"/>
      <c r="R40" s="22" t="str">
        <f>HYPERLINK("https://drive.google.com/open?id=0B3K8v8jgE390S21pNG92cEppUVU","Договор")</f>
        <v>Договор</v>
      </c>
      <c r="S40" s="22" t="str">
        <f>HYPERLINK("https://drive.google.com/open?id=1Qlo5g-OL3o0g34-a8rTAPezmAtLTU_iH","Документы")</f>
        <v>Документы</v>
      </c>
      <c r="T40" s="5"/>
      <c r="U40" s="5"/>
    </row>
    <row r="41" spans="1:21" ht="110.25">
      <c r="A41" s="8">
        <v>32</v>
      </c>
      <c r="B41" s="10" t="s">
        <v>20</v>
      </c>
      <c r="C41" s="10" t="s">
        <v>22</v>
      </c>
      <c r="D41" s="10" t="s">
        <v>21</v>
      </c>
      <c r="E41" s="10" t="s">
        <v>157</v>
      </c>
      <c r="F41" s="11" t="s">
        <v>158</v>
      </c>
      <c r="G41" s="39" t="s">
        <v>373</v>
      </c>
      <c r="H41" s="24" t="s">
        <v>159</v>
      </c>
      <c r="I41" s="11">
        <v>42885</v>
      </c>
      <c r="J41" s="18">
        <v>2497451.7599999998</v>
      </c>
      <c r="K41" s="18">
        <v>2311249.64</v>
      </c>
      <c r="L41" s="25" t="s">
        <v>160</v>
      </c>
      <c r="M41" s="12">
        <v>42997</v>
      </c>
      <c r="N41" s="12" t="s">
        <v>161</v>
      </c>
      <c r="O41" s="10" t="s">
        <v>162</v>
      </c>
      <c r="P41" s="23">
        <v>3322011926</v>
      </c>
      <c r="Q41" s="21"/>
      <c r="R41" s="22" t="str">
        <f>HYPERLINK("https://drive.google.com/open?id=0B3K8v8jgE390d1R5dU42ZHJTekk","Договор")</f>
        <v>Договор</v>
      </c>
      <c r="S41" s="5"/>
      <c r="T41" s="5"/>
      <c r="U41" s="5"/>
    </row>
    <row r="42" spans="1:21" ht="259.5" customHeight="1">
      <c r="A42" s="10">
        <v>33</v>
      </c>
      <c r="B42" s="10" t="s">
        <v>20</v>
      </c>
      <c r="C42" s="10" t="s">
        <v>22</v>
      </c>
      <c r="D42" s="10" t="s">
        <v>21</v>
      </c>
      <c r="E42" s="10" t="s">
        <v>163</v>
      </c>
      <c r="F42" s="11" t="s">
        <v>164</v>
      </c>
      <c r="G42" s="39" t="s">
        <v>374</v>
      </c>
      <c r="H42" s="24" t="s">
        <v>165</v>
      </c>
      <c r="I42" s="11">
        <v>42779</v>
      </c>
      <c r="J42" s="18">
        <v>400120.72</v>
      </c>
      <c r="K42" s="18">
        <v>339085.36</v>
      </c>
      <c r="L42" s="25" t="s">
        <v>166</v>
      </c>
      <c r="M42" s="12" t="s">
        <v>156</v>
      </c>
      <c r="N42" s="12" t="s">
        <v>92</v>
      </c>
      <c r="O42" s="10" t="s">
        <v>93</v>
      </c>
      <c r="P42" s="23">
        <v>3327100418</v>
      </c>
      <c r="Q42" s="21"/>
      <c r="R42" s="22" t="str">
        <f>HYPERLINK("https://drive.google.com/open?id=0B3K8v8jgE390NV9PSEVuSzdnTnM","Договор")</f>
        <v>Договор</v>
      </c>
      <c r="S42" s="22" t="str">
        <f>HYPERLINK("https://drive.google.com/open?id=1fB8fFN0Y0k8HfG63eyrlC1f7C8VlCVBg","Документы")</f>
        <v>Документы</v>
      </c>
      <c r="T42" s="5"/>
      <c r="U42" s="5"/>
    </row>
    <row r="43" spans="1:21" ht="228.75" customHeight="1">
      <c r="A43" s="10">
        <v>34</v>
      </c>
      <c r="B43" s="10" t="s">
        <v>20</v>
      </c>
      <c r="C43" s="10" t="s">
        <v>22</v>
      </c>
      <c r="D43" s="10" t="s">
        <v>21</v>
      </c>
      <c r="E43" s="10" t="s">
        <v>167</v>
      </c>
      <c r="F43" s="11" t="s">
        <v>168</v>
      </c>
      <c r="G43" s="39" t="s">
        <v>375</v>
      </c>
      <c r="H43" s="24" t="s">
        <v>169</v>
      </c>
      <c r="I43" s="11">
        <v>42779</v>
      </c>
      <c r="J43" s="18">
        <v>209557.57</v>
      </c>
      <c r="K43" s="18">
        <v>177591.16</v>
      </c>
      <c r="L43" s="25">
        <v>0</v>
      </c>
      <c r="M43" s="12" t="s">
        <v>156</v>
      </c>
      <c r="N43" s="12" t="s">
        <v>92</v>
      </c>
      <c r="O43" s="10" t="s">
        <v>93</v>
      </c>
      <c r="P43" s="23">
        <v>3327100418</v>
      </c>
      <c r="Q43" s="21"/>
      <c r="R43" s="22" t="str">
        <f>HYPERLINK("https://drive.google.com/open?id=0B3K8v8jgE390MWEySHZpeVF4RE0","Договор")</f>
        <v>Договор</v>
      </c>
      <c r="S43" s="22" t="str">
        <f>HYPERLINK("https://drive.google.com/open?id=1ugA_M_VL2Idh8FJdBx_78y0wWMpxpRm2","Документы")</f>
        <v>Документы</v>
      </c>
      <c r="T43" s="5"/>
      <c r="U43" s="5"/>
    </row>
    <row r="44" spans="1:21" ht="236.25">
      <c r="A44" s="10">
        <v>35</v>
      </c>
      <c r="B44" s="10" t="s">
        <v>20</v>
      </c>
      <c r="C44" s="10" t="s">
        <v>22</v>
      </c>
      <c r="D44" s="10" t="s">
        <v>21</v>
      </c>
      <c r="E44" s="10" t="s">
        <v>170</v>
      </c>
      <c r="F44" s="11" t="s">
        <v>171</v>
      </c>
      <c r="G44" s="39" t="s">
        <v>376</v>
      </c>
      <c r="H44" s="24" t="s">
        <v>172</v>
      </c>
      <c r="I44" s="11">
        <v>42779</v>
      </c>
      <c r="J44" s="18">
        <v>304067.89</v>
      </c>
      <c r="K44" s="18">
        <v>257684.65</v>
      </c>
      <c r="L44" s="25">
        <v>0</v>
      </c>
      <c r="M44" s="12" t="s">
        <v>91</v>
      </c>
      <c r="N44" s="12" t="s">
        <v>173</v>
      </c>
      <c r="O44" s="10" t="s">
        <v>174</v>
      </c>
      <c r="P44" s="23">
        <v>4345265453</v>
      </c>
      <c r="Q44" s="21"/>
      <c r="R44" s="22" t="str">
        <f>HYPERLINK("https://drive.google.com/open?id=0B3K8v8jgE390ZWdkYk1rT21XRWc","Договор")</f>
        <v>Договор</v>
      </c>
      <c r="S44" s="22" t="str">
        <f>HYPERLINK("https://drive.google.com/open?id=15bLqEZkV0v01vVIaKvNEcyZg1P9lrONE","Документы")</f>
        <v>Документы</v>
      </c>
      <c r="T44" s="5"/>
      <c r="U44" s="5"/>
    </row>
    <row r="45" spans="1:21" ht="204.75">
      <c r="A45" s="10">
        <v>36</v>
      </c>
      <c r="B45" s="10" t="s">
        <v>20</v>
      </c>
      <c r="C45" s="10" t="s">
        <v>22</v>
      </c>
      <c r="D45" s="10" t="s">
        <v>21</v>
      </c>
      <c r="E45" s="10" t="s">
        <v>175</v>
      </c>
      <c r="F45" s="11" t="s">
        <v>176</v>
      </c>
      <c r="G45" s="39" t="s">
        <v>377</v>
      </c>
      <c r="H45" s="24" t="s">
        <v>177</v>
      </c>
      <c r="I45" s="11">
        <v>42779</v>
      </c>
      <c r="J45" s="18">
        <v>101310.23</v>
      </c>
      <c r="K45" s="18">
        <v>85856.13</v>
      </c>
      <c r="L45" s="25" t="s">
        <v>178</v>
      </c>
      <c r="M45" s="12" t="s">
        <v>100</v>
      </c>
      <c r="N45" s="12" t="s">
        <v>92</v>
      </c>
      <c r="O45" s="10" t="s">
        <v>93</v>
      </c>
      <c r="P45" s="23">
        <v>3327100418</v>
      </c>
      <c r="Q45" s="21"/>
      <c r="R45" s="22" t="str">
        <f>HYPERLINK("https://drive.google.com/open?id=0B3K8v8jgE390MDR6b1A1RTNxeW8","Договор")</f>
        <v>Договор</v>
      </c>
      <c r="S45" s="22" t="str">
        <f>HYPERLINK("https://drive.google.com/open?id=1y14Mb9vlpmRYCbF5pQOZRuiNl8cvEUbq","Документы")</f>
        <v>Документы</v>
      </c>
      <c r="T45" s="5"/>
      <c r="U45" s="5"/>
    </row>
    <row r="46" spans="1:21" ht="354" customHeight="1">
      <c r="A46" s="10">
        <v>37</v>
      </c>
      <c r="B46" s="10" t="s">
        <v>20</v>
      </c>
      <c r="C46" s="10" t="s">
        <v>22</v>
      </c>
      <c r="D46" s="10" t="s">
        <v>21</v>
      </c>
      <c r="E46" s="10" t="s">
        <v>179</v>
      </c>
      <c r="F46" s="11" t="s">
        <v>180</v>
      </c>
      <c r="G46" s="39" t="s">
        <v>378</v>
      </c>
      <c r="H46" s="24" t="s">
        <v>181</v>
      </c>
      <c r="I46" s="11">
        <v>42779</v>
      </c>
      <c r="J46" s="18">
        <v>449821.05</v>
      </c>
      <c r="K46" s="18">
        <v>381204.28</v>
      </c>
      <c r="L46" s="25" t="s">
        <v>182</v>
      </c>
      <c r="M46" s="12" t="s">
        <v>73</v>
      </c>
      <c r="N46" s="12" t="s">
        <v>173</v>
      </c>
      <c r="O46" s="10" t="s">
        <v>174</v>
      </c>
      <c r="P46" s="23">
        <v>4345265453</v>
      </c>
      <c r="Q46" s="23"/>
      <c r="R46" s="22" t="str">
        <f>HYPERLINK("https://drive.google.com/open?id=0B3K8v8jgE390d1U2VjFQem5VQ0E","Договор")</f>
        <v>Договор</v>
      </c>
      <c r="S46" s="22" t="str">
        <f>HYPERLINK("https://drive.google.com/open?id=1QtRkIbvWPe_-xFS0JNXK0iMASWlrJUez","Документы")</f>
        <v>Документы</v>
      </c>
      <c r="T46" s="5"/>
      <c r="U46" s="5"/>
    </row>
    <row r="47" spans="1:21" ht="189" customHeight="1">
      <c r="A47" s="10">
        <v>38</v>
      </c>
      <c r="B47" s="10" t="s">
        <v>20</v>
      </c>
      <c r="C47" s="10" t="s">
        <v>22</v>
      </c>
      <c r="D47" s="10" t="s">
        <v>21</v>
      </c>
      <c r="E47" s="10" t="s">
        <v>183</v>
      </c>
      <c r="F47" s="11" t="s">
        <v>184</v>
      </c>
      <c r="G47" s="39" t="s">
        <v>379</v>
      </c>
      <c r="H47" s="24" t="s">
        <v>185</v>
      </c>
      <c r="I47" s="11">
        <v>42779</v>
      </c>
      <c r="J47" s="18">
        <v>570928.03</v>
      </c>
      <c r="K47" s="18">
        <v>475000</v>
      </c>
      <c r="L47" s="25" t="s">
        <v>186</v>
      </c>
      <c r="M47" s="12" t="s">
        <v>73</v>
      </c>
      <c r="N47" s="12" t="s">
        <v>173</v>
      </c>
      <c r="O47" s="10" t="s">
        <v>174</v>
      </c>
      <c r="P47" s="23">
        <v>4345265453</v>
      </c>
      <c r="Q47" s="21"/>
      <c r="R47" s="22" t="str">
        <f>HYPERLINK("https://drive.google.com/open?id=0B3K8v8jgE390MnNCV2hJMVEydU0","Договор")</f>
        <v>Договор</v>
      </c>
      <c r="S47" s="22" t="str">
        <f>HYPERLINK("https://drive.google.com/open?id=1UFUeMTpqtauL_7zi1EIarCENb3K_OTFI","Документы")</f>
        <v>Документы</v>
      </c>
      <c r="T47" s="5"/>
      <c r="U47" s="5"/>
    </row>
    <row r="48" spans="1:21" ht="102" customHeight="1">
      <c r="A48" s="10">
        <v>39</v>
      </c>
      <c r="B48" s="10" t="s">
        <v>20</v>
      </c>
      <c r="C48" s="10" t="s">
        <v>22</v>
      </c>
      <c r="D48" s="10" t="s">
        <v>21</v>
      </c>
      <c r="E48" s="10" t="s">
        <v>187</v>
      </c>
      <c r="F48" s="11" t="s">
        <v>188</v>
      </c>
      <c r="G48" s="39" t="s">
        <v>380</v>
      </c>
      <c r="H48" s="24" t="s">
        <v>189</v>
      </c>
      <c r="I48" s="11">
        <v>42885</v>
      </c>
      <c r="J48" s="18">
        <v>1812109.34</v>
      </c>
      <c r="K48" s="18">
        <v>1540291.5</v>
      </c>
      <c r="L48" s="25" t="s">
        <v>190</v>
      </c>
      <c r="M48" s="12">
        <v>42952</v>
      </c>
      <c r="N48" s="12" t="s">
        <v>191</v>
      </c>
      <c r="O48" s="10" t="s">
        <v>192</v>
      </c>
      <c r="P48" s="23">
        <v>3327118743</v>
      </c>
      <c r="Q48" s="21"/>
      <c r="R48" s="22" t="str">
        <f>HYPERLINK("https://drive.google.com/open?id=0B3K8v8jgE390TWp6LVZRbVA2WVk","Договор")</f>
        <v>Договор</v>
      </c>
      <c r="S48" s="22" t="str">
        <f>HYPERLINK("https://drive.google.com/open?id=0B3K8v8jgE390dTJ0VXJpTnpqYjQ","Документы")</f>
        <v>Документы</v>
      </c>
      <c r="T48" s="5"/>
      <c r="U48" s="5"/>
    </row>
    <row r="49" spans="1:21" ht="207.75" customHeight="1">
      <c r="A49" s="10">
        <v>41</v>
      </c>
      <c r="B49" s="10" t="s">
        <v>20</v>
      </c>
      <c r="C49" s="10" t="s">
        <v>22</v>
      </c>
      <c r="D49" s="10" t="s">
        <v>21</v>
      </c>
      <c r="E49" s="10" t="s">
        <v>193</v>
      </c>
      <c r="F49" s="11" t="s">
        <v>194</v>
      </c>
      <c r="G49" s="39" t="s">
        <v>381</v>
      </c>
      <c r="H49" s="24" t="s">
        <v>195</v>
      </c>
      <c r="I49" s="11">
        <v>42874</v>
      </c>
      <c r="J49" s="18">
        <v>271262.06</v>
      </c>
      <c r="K49" s="18">
        <v>223936.9</v>
      </c>
      <c r="L49" s="25" t="s">
        <v>196</v>
      </c>
      <c r="M49" s="12" t="s">
        <v>91</v>
      </c>
      <c r="N49" s="12" t="s">
        <v>145</v>
      </c>
      <c r="O49" s="10" t="s">
        <v>146</v>
      </c>
      <c r="P49" s="28">
        <v>3329035500</v>
      </c>
      <c r="Q49" s="28"/>
      <c r="R49" s="22" t="str">
        <f>HYPERLINK("https://drive.google.com/open?id=0B3K8v8jgE390ZnU3ZnJNQ0QwZ0k","Договор")</f>
        <v>Договор</v>
      </c>
      <c r="S49" s="22" t="str">
        <f>HYPERLINK("https://drive.google.com/open?id=1_ocNybnT8FCNrkCqzX8B4L0_SYXm3Oud","Документы")</f>
        <v>Документы</v>
      </c>
      <c r="T49" s="5"/>
      <c r="U49" s="5"/>
    </row>
    <row r="50" spans="1:21" ht="297.75" customHeight="1">
      <c r="A50" s="10">
        <v>42</v>
      </c>
      <c r="B50" s="10" t="s">
        <v>20</v>
      </c>
      <c r="C50" s="10" t="s">
        <v>22</v>
      </c>
      <c r="D50" s="10" t="s">
        <v>21</v>
      </c>
      <c r="E50" s="10" t="s">
        <v>197</v>
      </c>
      <c r="F50" s="11" t="s">
        <v>198</v>
      </c>
      <c r="G50" s="39" t="s">
        <v>382</v>
      </c>
      <c r="H50" s="24" t="s">
        <v>199</v>
      </c>
      <c r="I50" s="11">
        <v>42874</v>
      </c>
      <c r="J50" s="18">
        <v>578619.49</v>
      </c>
      <c r="K50" s="18">
        <v>490355.5</v>
      </c>
      <c r="L50" s="25">
        <v>0</v>
      </c>
      <c r="M50" s="12" t="s">
        <v>100</v>
      </c>
      <c r="N50" s="12" t="s">
        <v>145</v>
      </c>
      <c r="O50" s="10" t="s">
        <v>146</v>
      </c>
      <c r="P50" s="28">
        <v>3329035500</v>
      </c>
      <c r="Q50" s="21"/>
      <c r="R50" s="22" t="str">
        <f>HYPERLINK("https://drive.google.com/open?id=0B3K8v8jgE390SVAxZUdiSlJfX1E","Договор")</f>
        <v>Договор</v>
      </c>
      <c r="S50" s="22" t="str">
        <f>HYPERLINK("https://drive.google.com/open?id=1wXnpZtd8ioxK9x-xls_a3Gn1f66xjTRR","Документы")</f>
        <v>Документы</v>
      </c>
      <c r="T50" s="5"/>
      <c r="U50" s="5"/>
    </row>
    <row r="51" spans="1:21" ht="110.25">
      <c r="A51" s="10">
        <v>43</v>
      </c>
      <c r="B51" s="10" t="s">
        <v>20</v>
      </c>
      <c r="C51" s="10" t="s">
        <v>22</v>
      </c>
      <c r="D51" s="10" t="s">
        <v>21</v>
      </c>
      <c r="E51" s="10" t="s">
        <v>200</v>
      </c>
      <c r="F51" s="11" t="s">
        <v>201</v>
      </c>
      <c r="G51" s="39" t="s">
        <v>383</v>
      </c>
      <c r="H51" s="24" t="s">
        <v>202</v>
      </c>
      <c r="I51" s="11">
        <v>42884</v>
      </c>
      <c r="J51" s="18">
        <v>8092969.7999999998</v>
      </c>
      <c r="K51" s="18">
        <v>7283672.8099999996</v>
      </c>
      <c r="L51" s="25" t="s">
        <v>203</v>
      </c>
      <c r="M51" s="12">
        <v>42993</v>
      </c>
      <c r="N51" s="12" t="s">
        <v>204</v>
      </c>
      <c r="O51" s="10" t="s">
        <v>205</v>
      </c>
      <c r="P51" s="23">
        <v>3329059194</v>
      </c>
      <c r="Q51" s="21"/>
      <c r="R51" s="22" t="str">
        <f>HYPERLINK("https://drive.google.com/open?id=0B3K8v8jgE390UWlYc2NDeTFrbTQ","Договор")</f>
        <v>Договор</v>
      </c>
      <c r="S51" s="22" t="str">
        <f>HYPERLINK("https://drive.google.com/open?id=10g90vYSnBC0y3tJYUYoqg-o8E1dthXUj","Документы")</f>
        <v>Документы</v>
      </c>
      <c r="T51" s="5"/>
      <c r="U51" s="5"/>
    </row>
    <row r="52" spans="1:21" ht="94.5">
      <c r="A52" s="10">
        <v>44</v>
      </c>
      <c r="B52" s="10" t="s">
        <v>20</v>
      </c>
      <c r="C52" s="10" t="s">
        <v>22</v>
      </c>
      <c r="D52" s="10" t="s">
        <v>21</v>
      </c>
      <c r="E52" s="10" t="s">
        <v>206</v>
      </c>
      <c r="F52" s="11" t="s">
        <v>207</v>
      </c>
      <c r="G52" s="39" t="s">
        <v>384</v>
      </c>
      <c r="H52" s="24" t="s">
        <v>208</v>
      </c>
      <c r="I52" s="11">
        <v>42885</v>
      </c>
      <c r="J52" s="18">
        <v>2194138.54</v>
      </c>
      <c r="K52" s="18">
        <v>2194138.54</v>
      </c>
      <c r="L52" s="25">
        <v>0</v>
      </c>
      <c r="M52" s="12">
        <v>42959</v>
      </c>
      <c r="N52" s="12" t="s">
        <v>209</v>
      </c>
      <c r="O52" s="10" t="s">
        <v>210</v>
      </c>
      <c r="P52" s="23">
        <v>3702570310</v>
      </c>
      <c r="Q52" s="21"/>
      <c r="R52" s="22" t="str">
        <f>HYPERLINK("https://drive.google.com/open?id=0B3K8v8jgE390YnQ1WnpUc3YtOUU","Договор")</f>
        <v>Договор</v>
      </c>
      <c r="S52" s="22" t="str">
        <f>HYPERLINK("https://drive.google.com/open?id=1oWNBm5z04z0qPe6txp_Grh-msAZxhSgq","Документы")</f>
        <v>Документы</v>
      </c>
      <c r="T52" s="5"/>
      <c r="U52" s="5"/>
    </row>
    <row r="53" spans="1:21" ht="110.25">
      <c r="A53" s="10">
        <v>45</v>
      </c>
      <c r="B53" s="10" t="s">
        <v>20</v>
      </c>
      <c r="C53" s="10" t="s">
        <v>22</v>
      </c>
      <c r="D53" s="10" t="s">
        <v>21</v>
      </c>
      <c r="E53" s="10" t="s">
        <v>211</v>
      </c>
      <c r="F53" s="11" t="s">
        <v>212</v>
      </c>
      <c r="G53" s="39" t="s">
        <v>385</v>
      </c>
      <c r="H53" s="24" t="s">
        <v>213</v>
      </c>
      <c r="I53" s="11">
        <v>42884</v>
      </c>
      <c r="J53" s="18">
        <v>2384922.02</v>
      </c>
      <c r="K53" s="18">
        <v>2027225.39</v>
      </c>
      <c r="L53" s="25">
        <v>0.15</v>
      </c>
      <c r="M53" s="12">
        <v>42993</v>
      </c>
      <c r="N53" s="12" t="s">
        <v>204</v>
      </c>
      <c r="O53" s="10" t="s">
        <v>205</v>
      </c>
      <c r="P53" s="23">
        <v>3329059194</v>
      </c>
      <c r="Q53" s="21"/>
      <c r="R53" s="22" t="str">
        <f>HYPERLINK("https://drive.google.com/open?id=0B3K8v8jgE390R3dEdjJ0VUw0Rm8","Договор")</f>
        <v>Договор</v>
      </c>
      <c r="S53" s="22" t="str">
        <f>HYPERLINK("https://drive.google.com/open?id=1NiND0O_tQf3WIEth5n3vsLbC2kh0e0Pu","Документы")</f>
        <v>Документы</v>
      </c>
      <c r="T53" s="5"/>
      <c r="U53" s="5"/>
    </row>
    <row r="54" spans="1:21" ht="110.25">
      <c r="A54" s="10">
        <v>46</v>
      </c>
      <c r="B54" s="10" t="s">
        <v>20</v>
      </c>
      <c r="C54" s="10" t="s">
        <v>22</v>
      </c>
      <c r="D54" s="10" t="s">
        <v>21</v>
      </c>
      <c r="E54" s="10" t="s">
        <v>214</v>
      </c>
      <c r="F54" s="11" t="s">
        <v>215</v>
      </c>
      <c r="G54" s="39" t="s">
        <v>386</v>
      </c>
      <c r="H54" s="24" t="s">
        <v>216</v>
      </c>
      <c r="I54" s="11">
        <v>42783</v>
      </c>
      <c r="J54" s="18">
        <v>368977.76</v>
      </c>
      <c r="K54" s="18">
        <v>368977.76</v>
      </c>
      <c r="L54" s="25">
        <v>0</v>
      </c>
      <c r="M54" s="12" t="s">
        <v>217</v>
      </c>
      <c r="N54" s="12" t="s">
        <v>218</v>
      </c>
      <c r="O54" s="10" t="s">
        <v>219</v>
      </c>
      <c r="P54" s="23">
        <v>7728296652</v>
      </c>
      <c r="Q54" s="21"/>
      <c r="R54" s="22" t="str">
        <f>HYPERLINK("https://drive.google.com/open?id=0B3K8v8jgE390b1ZESERkQVpzbm8","Договор")</f>
        <v>Договор</v>
      </c>
      <c r="S54" s="22" t="str">
        <f>HYPERLINK("https://drive.google.com/open?id=1OHYEetFIrFG7HGHFMZ1fgDcQqFxtd5lo","Документы")</f>
        <v>Документы</v>
      </c>
      <c r="T54" s="5"/>
      <c r="U54" s="5"/>
    </row>
    <row r="55" spans="1:21" ht="94.5">
      <c r="A55" s="10">
        <v>47</v>
      </c>
      <c r="B55" s="10" t="s">
        <v>20</v>
      </c>
      <c r="C55" s="10" t="s">
        <v>22</v>
      </c>
      <c r="D55" s="10" t="s">
        <v>21</v>
      </c>
      <c r="E55" s="10" t="s">
        <v>220</v>
      </c>
      <c r="F55" s="11" t="s">
        <v>221</v>
      </c>
      <c r="G55" s="39" t="s">
        <v>387</v>
      </c>
      <c r="H55" s="24" t="s">
        <v>222</v>
      </c>
      <c r="I55" s="11">
        <v>42793</v>
      </c>
      <c r="J55" s="18">
        <v>949147.8</v>
      </c>
      <c r="K55" s="18">
        <v>939656</v>
      </c>
      <c r="L55" s="25">
        <v>0.01</v>
      </c>
      <c r="M55" s="12">
        <v>42954</v>
      </c>
      <c r="N55" s="12" t="s">
        <v>223</v>
      </c>
      <c r="O55" s="10" t="s">
        <v>224</v>
      </c>
      <c r="P55" s="23">
        <v>3327839216</v>
      </c>
      <c r="Q55" s="21"/>
      <c r="R55" s="22" t="str">
        <f>HYPERLINK("https://drive.google.com/open?id=0B3K8v8jgE390LWNGY1dfNkxHdlE","Договор")</f>
        <v>Договор</v>
      </c>
      <c r="S55" s="22" t="str">
        <f>HYPERLINK("https://drive.google.com/open?id=1AZ0pe7pD2h-lPC__3uJy1c9lldGxxR71","Документы")</f>
        <v>Документы</v>
      </c>
      <c r="T55" s="5"/>
      <c r="U55" s="5"/>
    </row>
    <row r="56" spans="1:21" ht="94.5">
      <c r="A56" s="10">
        <v>48</v>
      </c>
      <c r="B56" s="10" t="s">
        <v>20</v>
      </c>
      <c r="C56" s="10" t="s">
        <v>22</v>
      </c>
      <c r="D56" s="10" t="s">
        <v>21</v>
      </c>
      <c r="E56" s="10" t="s">
        <v>225</v>
      </c>
      <c r="F56" s="11" t="s">
        <v>226</v>
      </c>
      <c r="G56" s="39" t="s">
        <v>388</v>
      </c>
      <c r="H56" s="24" t="s">
        <v>227</v>
      </c>
      <c r="I56" s="11">
        <v>42783</v>
      </c>
      <c r="J56" s="18">
        <v>269140.40999999997</v>
      </c>
      <c r="K56" s="18">
        <v>269140.40999999997</v>
      </c>
      <c r="L56" s="25">
        <v>0</v>
      </c>
      <c r="M56" s="12" t="s">
        <v>217</v>
      </c>
      <c r="N56" s="12" t="s">
        <v>218</v>
      </c>
      <c r="O56" s="10" t="s">
        <v>219</v>
      </c>
      <c r="P56" s="23">
        <v>7728296652</v>
      </c>
      <c r="Q56" s="21"/>
      <c r="R56" s="22" t="str">
        <f>HYPERLINK("https://drive.google.com/open?id=0B3K8v8jgE390RExRU0hsTE1oREk","Договор")</f>
        <v>Договор</v>
      </c>
      <c r="S56" s="22" t="str">
        <f>HYPERLINK("https://drive.google.com/open?id=1vhJGO_qgXgwp0OqCesHMXaTD5QBYE4b4","Документы")</f>
        <v>Документы</v>
      </c>
      <c r="T56" s="5"/>
      <c r="U56" s="5"/>
    </row>
    <row r="57" spans="1:21" ht="94.5">
      <c r="A57" s="10">
        <v>49</v>
      </c>
      <c r="B57" s="10" t="s">
        <v>20</v>
      </c>
      <c r="C57" s="10" t="s">
        <v>22</v>
      </c>
      <c r="D57" s="10" t="s">
        <v>21</v>
      </c>
      <c r="E57" s="10" t="s">
        <v>228</v>
      </c>
      <c r="F57" s="11" t="s">
        <v>229</v>
      </c>
      <c r="G57" s="39" t="s">
        <v>389</v>
      </c>
      <c r="H57" s="24" t="s">
        <v>230</v>
      </c>
      <c r="I57" s="11">
        <v>42793</v>
      </c>
      <c r="J57" s="18">
        <v>2570873.61</v>
      </c>
      <c r="K57" s="18">
        <v>2558019.2400000002</v>
      </c>
      <c r="L57" s="25">
        <v>5.0000000000000001E-3</v>
      </c>
      <c r="M57" s="12">
        <v>42998</v>
      </c>
      <c r="N57" s="12" t="s">
        <v>231</v>
      </c>
      <c r="O57" s="10" t="s">
        <v>232</v>
      </c>
      <c r="P57" s="23">
        <v>332708060752</v>
      </c>
      <c r="Q57" s="21"/>
      <c r="R57" s="22" t="str">
        <f>HYPERLINK("https://drive.google.com/open?id=0B3K8v8jgE390Ty1wTl9weVhtTTA","Договор")</f>
        <v>Договор</v>
      </c>
      <c r="S57" s="5"/>
      <c r="T57" s="5"/>
      <c r="U57" s="5"/>
    </row>
    <row r="58" spans="1:21" ht="220.5">
      <c r="A58" s="10">
        <v>50</v>
      </c>
      <c r="B58" s="10" t="s">
        <v>20</v>
      </c>
      <c r="C58" s="10"/>
      <c r="D58" s="10" t="s">
        <v>21</v>
      </c>
      <c r="E58" s="10" t="s">
        <v>251</v>
      </c>
      <c r="F58" s="11" t="s">
        <v>252</v>
      </c>
      <c r="G58" s="39" t="s">
        <v>390</v>
      </c>
      <c r="H58" s="24" t="s">
        <v>253</v>
      </c>
      <c r="I58" s="11">
        <v>42779</v>
      </c>
      <c r="J58" s="18">
        <v>174486.46</v>
      </c>
      <c r="K58" s="34">
        <v>174486.46</v>
      </c>
      <c r="L58" s="25">
        <v>0</v>
      </c>
      <c r="M58" s="12" t="s">
        <v>100</v>
      </c>
      <c r="N58" s="12" t="s">
        <v>92</v>
      </c>
      <c r="O58" s="10" t="s">
        <v>93</v>
      </c>
      <c r="P58" s="23">
        <v>3327100418</v>
      </c>
      <c r="Q58" s="21"/>
      <c r="R58" s="22" t="str">
        <f>HYPERLINK("https://drive.google.com/open?id=0B3K8v8jgE390cjJhX25IcUoxbjQ","Договор")</f>
        <v>Договор</v>
      </c>
      <c r="S58" s="22" t="str">
        <f>HYPERLINK("https://drive.google.com/open?id=10uuskKXs7xw0r4OHKrMjGvG9chOR_gI0","Документы")</f>
        <v>Документы</v>
      </c>
      <c r="T58" s="5"/>
      <c r="U58" s="5"/>
    </row>
    <row r="59" spans="1:21" ht="94.5">
      <c r="A59" s="10">
        <v>51</v>
      </c>
      <c r="B59" s="10" t="s">
        <v>20</v>
      </c>
      <c r="C59" s="10"/>
      <c r="D59" s="10" t="s">
        <v>21</v>
      </c>
      <c r="E59" s="35" t="s">
        <v>233</v>
      </c>
      <c r="F59" s="11" t="s">
        <v>234</v>
      </c>
      <c r="G59" s="39" t="s">
        <v>391</v>
      </c>
      <c r="H59" s="24" t="s">
        <v>235</v>
      </c>
      <c r="I59" s="11">
        <v>42783</v>
      </c>
      <c r="J59" s="18">
        <v>1195290.51</v>
      </c>
      <c r="K59" s="18">
        <v>1189314.06</v>
      </c>
      <c r="L59" s="25">
        <v>5.0000000000000001E-3</v>
      </c>
      <c r="M59" s="12" t="s">
        <v>217</v>
      </c>
      <c r="N59" s="12" t="s">
        <v>218</v>
      </c>
      <c r="O59" s="10" t="s">
        <v>219</v>
      </c>
      <c r="P59" s="23">
        <v>7728296652</v>
      </c>
      <c r="Q59" s="21"/>
      <c r="R59" s="22" t="str">
        <f>HYPERLINK("https://drive.google.com/open?id=0B3K8v8jgE390S3RieG5CVEQ0RzQ","Договор")</f>
        <v>Договор</v>
      </c>
      <c r="S59" s="22" t="str">
        <f>HYPERLINK("https://drive.google.com/open?id=1ABUZ0P1ehEn44bJmWP5HMXqvcAMpW50S","Документы")</f>
        <v>Документы</v>
      </c>
      <c r="T59" s="5"/>
      <c r="U59" s="5"/>
    </row>
    <row r="60" spans="1:21" ht="94.5">
      <c r="A60" s="10">
        <v>52</v>
      </c>
      <c r="B60" s="10" t="s">
        <v>20</v>
      </c>
      <c r="C60" s="10"/>
      <c r="D60" s="10" t="s">
        <v>21</v>
      </c>
      <c r="E60" s="35" t="s">
        <v>236</v>
      </c>
      <c r="F60" s="11" t="s">
        <v>237</v>
      </c>
      <c r="G60" s="39" t="s">
        <v>392</v>
      </c>
      <c r="H60" s="24" t="s">
        <v>238</v>
      </c>
      <c r="I60" s="11">
        <v>42783</v>
      </c>
      <c r="J60" s="18">
        <v>372182.99</v>
      </c>
      <c r="K60" s="18">
        <v>327521.15000000002</v>
      </c>
      <c r="L60" s="25">
        <v>0.12</v>
      </c>
      <c r="M60" s="12" t="s">
        <v>217</v>
      </c>
      <c r="N60" s="12" t="s">
        <v>218</v>
      </c>
      <c r="O60" s="10" t="s">
        <v>219</v>
      </c>
      <c r="P60" s="23">
        <v>7728296652</v>
      </c>
      <c r="Q60" s="21"/>
      <c r="R60" s="22" t="str">
        <f>HYPERLINK("https://drive.google.com/open?id=0B3K8v8jgE390SklkazFMcGkyYmM","Договор")</f>
        <v>Договор</v>
      </c>
      <c r="S60" s="22" t="str">
        <f>HYPERLINK("https://drive.google.com/open?id=1g8lf1ssgAA116h63rotMIqBTTzjqsoSh","Документы")</f>
        <v>Документы</v>
      </c>
      <c r="T60" s="5"/>
      <c r="U60" s="5"/>
    </row>
    <row r="61" spans="1:21" ht="173.25">
      <c r="A61" s="10">
        <v>53</v>
      </c>
      <c r="B61" s="10" t="s">
        <v>20</v>
      </c>
      <c r="C61" s="10"/>
      <c r="D61" s="10" t="s">
        <v>21</v>
      </c>
      <c r="E61" s="35" t="s">
        <v>239</v>
      </c>
      <c r="F61" s="11" t="s">
        <v>240</v>
      </c>
      <c r="G61" s="39" t="s">
        <v>393</v>
      </c>
      <c r="H61" s="24" t="s">
        <v>241</v>
      </c>
      <c r="I61" s="11">
        <v>42779</v>
      </c>
      <c r="J61" s="18">
        <v>304741.11</v>
      </c>
      <c r="K61" s="32">
        <v>258255.18</v>
      </c>
      <c r="L61" s="25">
        <v>0</v>
      </c>
      <c r="M61" s="12" t="s">
        <v>100</v>
      </c>
      <c r="N61" s="12" t="s">
        <v>173</v>
      </c>
      <c r="O61" s="10" t="s">
        <v>174</v>
      </c>
      <c r="P61" s="23">
        <v>4345265453</v>
      </c>
      <c r="Q61" s="21"/>
      <c r="R61" s="22" t="str">
        <f>HYPERLINK("https://drive.google.com/open?id=0B3K8v8jgE390aDZ6bUJMNUlWaU0","Договор")</f>
        <v>Договор</v>
      </c>
      <c r="S61" s="22" t="str">
        <f>HYPERLINK("https://drive.google.com/open?id=1g9OErAnA7QLOnYvs5Ef87IdQ3ZKD9VkH","Документы")</f>
        <v>Документы</v>
      </c>
      <c r="T61" s="5"/>
      <c r="U61" s="5"/>
    </row>
    <row r="62" spans="1:21" ht="94.5">
      <c r="A62" s="10">
        <v>54</v>
      </c>
      <c r="B62" s="10" t="s">
        <v>20</v>
      </c>
      <c r="C62" s="10"/>
      <c r="D62" s="10" t="s">
        <v>21</v>
      </c>
      <c r="E62" s="35" t="s">
        <v>242</v>
      </c>
      <c r="F62" s="11" t="s">
        <v>243</v>
      </c>
      <c r="G62" s="39" t="s">
        <v>394</v>
      </c>
      <c r="H62" s="24" t="s">
        <v>244</v>
      </c>
      <c r="I62" s="11">
        <v>42779</v>
      </c>
      <c r="J62" s="18">
        <v>892435.66</v>
      </c>
      <c r="K62" s="18">
        <v>775975</v>
      </c>
      <c r="L62" s="33">
        <v>0.1305</v>
      </c>
      <c r="M62" s="12">
        <v>42956</v>
      </c>
      <c r="N62" s="10" t="s">
        <v>31</v>
      </c>
      <c r="O62" s="10" t="s">
        <v>32</v>
      </c>
      <c r="P62" s="21">
        <v>3304016992</v>
      </c>
      <c r="Q62" s="21"/>
      <c r="R62" s="22" t="str">
        <f>HYPERLINK("https://drive.google.com/open?id=0B3K8v8jgE390RUZNLXVxNHNaQVU","Договор")</f>
        <v>Договор</v>
      </c>
      <c r="S62" s="22" t="str">
        <f>HYPERLINK("https://drive.google.com/open?id=0B3K8v8jgE390elJuUDQ5eEhFQ1k","Документы")</f>
        <v>Документы</v>
      </c>
      <c r="T62" s="5"/>
      <c r="U62" s="5"/>
    </row>
    <row r="63" spans="1:21" ht="110.25">
      <c r="A63" s="10">
        <v>55</v>
      </c>
      <c r="B63" s="10" t="s">
        <v>20</v>
      </c>
      <c r="C63" s="10"/>
      <c r="D63" s="10" t="s">
        <v>21</v>
      </c>
      <c r="E63" s="35" t="s">
        <v>245</v>
      </c>
      <c r="F63" s="11" t="s">
        <v>246</v>
      </c>
      <c r="G63" s="39" t="s">
        <v>395</v>
      </c>
      <c r="H63" s="24" t="s">
        <v>247</v>
      </c>
      <c r="I63" s="11">
        <v>42783</v>
      </c>
      <c r="J63" s="18">
        <v>1029734.03</v>
      </c>
      <c r="K63" s="18">
        <v>1024585.36</v>
      </c>
      <c r="L63" s="25" t="s">
        <v>130</v>
      </c>
      <c r="M63" s="12">
        <v>42951</v>
      </c>
      <c r="N63" s="10" t="s">
        <v>18</v>
      </c>
      <c r="O63" s="10" t="s">
        <v>19</v>
      </c>
      <c r="P63" s="14">
        <v>332600108871</v>
      </c>
      <c r="Q63" s="21"/>
      <c r="R63" s="22" t="str">
        <f>HYPERLINK("https://drive.google.com/open?id=0B3K8v8jgE390aklPVTVXOFByVG8","Договор")</f>
        <v>Договор</v>
      </c>
      <c r="S63" s="22" t="str">
        <f>HYPERLINK("https://drive.google.com/open?id=0B3K8v8jgE390V1lqd21Qc0U5cE0","Документы")</f>
        <v>Документы</v>
      </c>
      <c r="T63" s="5"/>
      <c r="U63" s="5"/>
    </row>
    <row r="64" spans="1:21" ht="94.5">
      <c r="A64" s="10">
        <v>56</v>
      </c>
      <c r="B64" s="10" t="s">
        <v>20</v>
      </c>
      <c r="C64" s="10"/>
      <c r="D64" s="10" t="s">
        <v>21</v>
      </c>
      <c r="E64" s="35" t="s">
        <v>248</v>
      </c>
      <c r="F64" s="11" t="s">
        <v>249</v>
      </c>
      <c r="G64" s="39" t="s">
        <v>396</v>
      </c>
      <c r="H64" s="24" t="s">
        <v>250</v>
      </c>
      <c r="I64" s="11">
        <v>42885</v>
      </c>
      <c r="J64" s="18">
        <v>5848448.6600000001</v>
      </c>
      <c r="K64" s="18">
        <v>5819200</v>
      </c>
      <c r="L64" s="25">
        <v>5.0000000000000001E-3</v>
      </c>
      <c r="M64" s="12">
        <v>43033</v>
      </c>
      <c r="N64" s="12" t="s">
        <v>209</v>
      </c>
      <c r="O64" s="10" t="s">
        <v>210</v>
      </c>
      <c r="P64" s="23">
        <v>3702570310</v>
      </c>
      <c r="Q64" s="21"/>
      <c r="R64" s="22" t="str">
        <f>HYPERLINK("https://drive.google.com/open?id=0B3K8v8jgE390VGc1WkcyYzN3Z1U","Договор")</f>
        <v>Договор</v>
      </c>
      <c r="S64" s="5"/>
      <c r="T64" s="5"/>
      <c r="U64" s="5"/>
    </row>
    <row r="65" spans="1:21" ht="94.5">
      <c r="A65" s="10">
        <v>57</v>
      </c>
      <c r="B65" s="10" t="s">
        <v>20</v>
      </c>
      <c r="C65" s="10"/>
      <c r="D65" s="10" t="s">
        <v>21</v>
      </c>
      <c r="E65" s="35" t="s">
        <v>254</v>
      </c>
      <c r="F65" s="11" t="s">
        <v>255</v>
      </c>
      <c r="G65" s="39" t="s">
        <v>397</v>
      </c>
      <c r="H65" s="24" t="s">
        <v>256</v>
      </c>
      <c r="I65" s="11">
        <v>42671</v>
      </c>
      <c r="J65" s="18">
        <v>1267317.2</v>
      </c>
      <c r="K65" s="18">
        <v>1222959.4099999999</v>
      </c>
      <c r="L65" s="25">
        <v>3.5000000000000003E-2</v>
      </c>
      <c r="M65" s="12">
        <v>42973</v>
      </c>
      <c r="N65" s="12" t="s">
        <v>257</v>
      </c>
      <c r="O65" s="10" t="s">
        <v>258</v>
      </c>
      <c r="P65" s="23">
        <v>330700346964</v>
      </c>
      <c r="Q65" s="21"/>
      <c r="R65" s="22" t="str">
        <f>HYPERLINK("https://drive.google.com/open?id=0B3K8v8jgE390NTdZRnQzSFA0V0U","Договор")</f>
        <v>Договор</v>
      </c>
      <c r="S65" s="22" t="str">
        <f>HYPERLINK("https://drive.google.com/open?id=1bbAK8tQIMWgooCpoxDqtO0rSd4PVpM54","Документы")</f>
        <v>Документы</v>
      </c>
      <c r="T65" s="5"/>
      <c r="U65" s="5"/>
    </row>
    <row r="66" spans="1:21" ht="204.75">
      <c r="A66" s="10">
        <v>58</v>
      </c>
      <c r="B66" s="10" t="s">
        <v>20</v>
      </c>
      <c r="C66" s="10"/>
      <c r="D66" s="10" t="s">
        <v>21</v>
      </c>
      <c r="E66" s="10" t="s">
        <v>259</v>
      </c>
      <c r="F66" s="11" t="s">
        <v>260</v>
      </c>
      <c r="G66" s="39" t="s">
        <v>398</v>
      </c>
      <c r="H66" s="24" t="s">
        <v>261</v>
      </c>
      <c r="I66" s="11">
        <v>42779</v>
      </c>
      <c r="J66" s="18">
        <v>157691.60999999999</v>
      </c>
      <c r="K66" s="18">
        <v>133639.96</v>
      </c>
      <c r="L66" s="36">
        <v>0.13220000000000001</v>
      </c>
      <c r="M66" s="12" t="s">
        <v>262</v>
      </c>
      <c r="N66" s="12" t="s">
        <v>92</v>
      </c>
      <c r="O66" s="10" t="s">
        <v>93</v>
      </c>
      <c r="P66" s="23">
        <v>3327100418</v>
      </c>
      <c r="Q66" s="21"/>
      <c r="R66" s="22" t="str">
        <f>HYPERLINK("https://drive.google.com/open?id=0B3K8v8jgE390ZUpLeldPQnB4eW8","Договор")</f>
        <v>Договор</v>
      </c>
      <c r="S66" s="22" t="str">
        <f>HYPERLINK("https://drive.google.com/open?id=1gOWPwd_Nth9gCe2GGKHFpgpEJ9Nz7h9H","Документы")</f>
        <v>Документы</v>
      </c>
      <c r="T66" s="5"/>
      <c r="U66" s="5"/>
    </row>
    <row r="67" spans="1:21" ht="204.75">
      <c r="A67" s="10">
        <v>59</v>
      </c>
      <c r="B67" s="10" t="s">
        <v>20</v>
      </c>
      <c r="C67" s="10"/>
      <c r="D67" s="10" t="s">
        <v>21</v>
      </c>
      <c r="E67" s="10" t="s">
        <v>263</v>
      </c>
      <c r="F67" s="11" t="s">
        <v>264</v>
      </c>
      <c r="G67" s="39" t="s">
        <v>399</v>
      </c>
      <c r="H67" s="24" t="s">
        <v>261</v>
      </c>
      <c r="I67" s="11">
        <v>42779</v>
      </c>
      <c r="J67" s="18">
        <v>269087.06</v>
      </c>
      <c r="K67" s="18">
        <v>256978.1</v>
      </c>
      <c r="L67" s="36">
        <v>4.4999999999999998E-2</v>
      </c>
      <c r="M67" s="12" t="s">
        <v>265</v>
      </c>
      <c r="N67" s="12" t="s">
        <v>92</v>
      </c>
      <c r="O67" s="10" t="s">
        <v>93</v>
      </c>
      <c r="P67" s="23">
        <v>3327100418</v>
      </c>
      <c r="Q67" s="21"/>
      <c r="R67" s="22" t="str">
        <f>HYPERLINK("https://drive.google.com/open?id=0B3K8v8jgE390QXFwUGFxcXVXZlU","Договор")</f>
        <v>Договор</v>
      </c>
      <c r="S67" s="5"/>
      <c r="T67" s="5"/>
      <c r="U67" s="5"/>
    </row>
    <row r="68" spans="1:21" ht="409.5">
      <c r="A68" s="10">
        <v>60</v>
      </c>
      <c r="B68" s="10" t="s">
        <v>20</v>
      </c>
      <c r="C68" s="10"/>
      <c r="D68" s="10" t="s">
        <v>21</v>
      </c>
      <c r="E68" s="10" t="s">
        <v>266</v>
      </c>
      <c r="F68" s="11" t="s">
        <v>267</v>
      </c>
      <c r="G68" s="39" t="s">
        <v>400</v>
      </c>
      <c r="H68" s="24" t="s">
        <v>268</v>
      </c>
      <c r="I68" s="11">
        <v>42779</v>
      </c>
      <c r="J68" s="18">
        <v>1183220.95</v>
      </c>
      <c r="K68" s="18">
        <v>1002729.61</v>
      </c>
      <c r="L68" s="36">
        <v>0.03</v>
      </c>
      <c r="M68" s="12" t="s">
        <v>100</v>
      </c>
      <c r="N68" s="12" t="s">
        <v>92</v>
      </c>
      <c r="O68" s="10" t="s">
        <v>93</v>
      </c>
      <c r="P68" s="23">
        <v>3327100418</v>
      </c>
      <c r="Q68" s="21"/>
      <c r="R68" s="22" t="str">
        <f>HYPERLINK("https://drive.google.com/open?id=0B3K8v8jgE390V2xHZHRzbFpFUUk","Договор")</f>
        <v>Договор</v>
      </c>
      <c r="S68" s="22" t="str">
        <f>HYPERLINK("https://drive.google.com/open?id=1N4Y-_FjcRCKlrTRHCR3kGBawtGJ_aTob","Документы")</f>
        <v>Документы</v>
      </c>
      <c r="T68" s="5"/>
      <c r="U68" s="5"/>
    </row>
    <row r="69" spans="1:21" ht="94.5">
      <c r="A69" s="10">
        <v>61</v>
      </c>
      <c r="B69" s="10" t="s">
        <v>20</v>
      </c>
      <c r="C69" s="10"/>
      <c r="D69" s="10" t="s">
        <v>21</v>
      </c>
      <c r="E69" s="10" t="s">
        <v>269</v>
      </c>
      <c r="F69" s="11" t="s">
        <v>270</v>
      </c>
      <c r="G69" s="39" t="s">
        <v>401</v>
      </c>
      <c r="H69" s="24" t="s">
        <v>271</v>
      </c>
      <c r="I69" s="11">
        <v>42885</v>
      </c>
      <c r="J69" s="18">
        <v>8061320.5999999996</v>
      </c>
      <c r="K69" s="18">
        <v>7542399.3899999997</v>
      </c>
      <c r="L69" s="36">
        <v>5.0000000000000001E-3</v>
      </c>
      <c r="M69" s="12">
        <v>43039</v>
      </c>
      <c r="N69" s="12" t="s">
        <v>272</v>
      </c>
      <c r="O69" s="10" t="s">
        <v>273</v>
      </c>
      <c r="P69" s="23">
        <v>3304015533</v>
      </c>
      <c r="Q69" s="21"/>
      <c r="R69" s="22" t="str">
        <f>HYPERLINK("https://drive.google.com/open?id=0B3K8v8jgE390ek95VWtwQzUwQ1U","Договор")</f>
        <v>Договор</v>
      </c>
      <c r="S69" s="5"/>
      <c r="T69" s="5"/>
      <c r="U69" s="5"/>
    </row>
    <row r="70" spans="1:21" ht="133.5" customHeight="1">
      <c r="A70" s="10">
        <v>62</v>
      </c>
      <c r="B70" s="10" t="s">
        <v>20</v>
      </c>
      <c r="C70" s="10"/>
      <c r="D70" s="10" t="s">
        <v>21</v>
      </c>
      <c r="E70" s="10" t="s">
        <v>274</v>
      </c>
      <c r="F70" s="11" t="s">
        <v>275</v>
      </c>
      <c r="G70" s="39" t="s">
        <v>402</v>
      </c>
      <c r="H70" s="24" t="s">
        <v>276</v>
      </c>
      <c r="I70" s="11">
        <v>42885</v>
      </c>
      <c r="J70" s="18">
        <v>3739161.45</v>
      </c>
      <c r="K70" s="18">
        <v>3488505.5</v>
      </c>
      <c r="L70" s="25">
        <v>1.4999999999999999E-2</v>
      </c>
      <c r="M70" s="12">
        <v>43022</v>
      </c>
      <c r="N70" s="12" t="s">
        <v>191</v>
      </c>
      <c r="O70" s="10" t="s">
        <v>192</v>
      </c>
      <c r="P70" s="23">
        <v>3327118743</v>
      </c>
      <c r="Q70" s="21"/>
      <c r="R70" s="22" t="str">
        <f>HYPERLINK("https://drive.google.com/open?id=0B3K8v8jgE390bjZVNFRPRlllTXc","Договор")</f>
        <v>Договор</v>
      </c>
      <c r="S70" s="22" t="str">
        <f>HYPERLINK("https://drive.google.com/open?id=1kVRVdZh-Rmd_niyE9Ok3hKCt2eUMEEHq","Документы")</f>
        <v>Документы</v>
      </c>
      <c r="T70" s="5"/>
      <c r="U70" s="5"/>
    </row>
    <row r="71" spans="1:21" ht="133.5" customHeight="1">
      <c r="A71" s="10">
        <v>63</v>
      </c>
      <c r="B71" s="10" t="s">
        <v>20</v>
      </c>
      <c r="C71" s="10"/>
      <c r="D71" s="10" t="s">
        <v>21</v>
      </c>
      <c r="E71" s="10" t="s">
        <v>277</v>
      </c>
      <c r="F71" s="11" t="s">
        <v>278</v>
      </c>
      <c r="G71" s="39" t="s">
        <v>403</v>
      </c>
      <c r="H71" s="24" t="s">
        <v>279</v>
      </c>
      <c r="I71" s="11">
        <v>42885</v>
      </c>
      <c r="J71" s="18">
        <v>1930413.08</v>
      </c>
      <c r="K71" s="18">
        <v>1816684.21</v>
      </c>
      <c r="L71" s="25">
        <v>5.0000000000000001E-3</v>
      </c>
      <c r="M71" s="12">
        <v>42974</v>
      </c>
      <c r="N71" s="12" t="s">
        <v>280</v>
      </c>
      <c r="O71" s="10" t="s">
        <v>281</v>
      </c>
      <c r="P71" s="23">
        <v>3329001162</v>
      </c>
      <c r="Q71" s="21"/>
      <c r="R71" s="22" t="str">
        <f>HYPERLINK("https://drive.google.com/open?id=0B3K8v8jgE390SFdJYzdYVmpvRDQ","Договор")</f>
        <v>Договор</v>
      </c>
      <c r="S71" s="22" t="str">
        <f>HYPERLINK("https://drive.google.com/open?id=1_gneUgFp1fC6dnWER-iGQ4UO3q_msbbf","Документы")</f>
        <v>Документы</v>
      </c>
      <c r="T71" s="5"/>
      <c r="U71" s="5"/>
    </row>
    <row r="72" spans="1:21" ht="94.5">
      <c r="A72" s="10">
        <v>64</v>
      </c>
      <c r="B72" s="10" t="s">
        <v>20</v>
      </c>
      <c r="C72" s="10"/>
      <c r="D72" s="10" t="s">
        <v>21</v>
      </c>
      <c r="E72" s="35" t="s">
        <v>282</v>
      </c>
      <c r="F72" s="11" t="s">
        <v>283</v>
      </c>
      <c r="G72" s="39" t="s">
        <v>404</v>
      </c>
      <c r="H72" s="24" t="s">
        <v>284</v>
      </c>
      <c r="I72" s="11">
        <v>42783</v>
      </c>
      <c r="J72" s="18">
        <v>307442.2</v>
      </c>
      <c r="K72" s="18">
        <v>280017.45</v>
      </c>
      <c r="L72" s="25">
        <v>0</v>
      </c>
      <c r="M72" s="12">
        <v>42933</v>
      </c>
      <c r="N72" s="10" t="s">
        <v>18</v>
      </c>
      <c r="O72" s="10" t="s">
        <v>19</v>
      </c>
      <c r="P72" s="14">
        <v>332600108871</v>
      </c>
      <c r="Q72" s="21"/>
      <c r="R72" s="22" t="str">
        <f>HYPERLINK("https://drive.google.com/open?id=0B3K8v8jgE390S25YWGg2YWVnM1k","Договор")</f>
        <v>Договор</v>
      </c>
      <c r="S72" s="22" t="str">
        <f>HYPERLINK("https://drive.google.com/open?id=0B3K8v8jgE390T0FqbDFGNllqaDg","Документы")</f>
        <v>Документы</v>
      </c>
      <c r="T72" s="5"/>
      <c r="U72" s="5"/>
    </row>
    <row r="73" spans="1:21" ht="126">
      <c r="A73" s="10">
        <v>65</v>
      </c>
      <c r="B73" s="10" t="s">
        <v>20</v>
      </c>
      <c r="C73" s="10"/>
      <c r="D73" s="10" t="s">
        <v>21</v>
      </c>
      <c r="E73" s="35" t="s">
        <v>285</v>
      </c>
      <c r="F73" s="11" t="s">
        <v>286</v>
      </c>
      <c r="G73" s="39" t="s">
        <v>405</v>
      </c>
      <c r="H73" s="24" t="s">
        <v>287</v>
      </c>
      <c r="I73" s="11">
        <v>42783</v>
      </c>
      <c r="J73" s="18">
        <v>1757559.23</v>
      </c>
      <c r="K73" s="18">
        <v>1603136.36</v>
      </c>
      <c r="L73" s="25">
        <v>5.0000000000000001E-3</v>
      </c>
      <c r="M73" s="12">
        <v>42982</v>
      </c>
      <c r="N73" s="10" t="s">
        <v>18</v>
      </c>
      <c r="O73" s="10" t="s">
        <v>19</v>
      </c>
      <c r="P73" s="14">
        <v>332600108871</v>
      </c>
      <c r="Q73" s="21"/>
      <c r="R73" s="22" t="str">
        <f>HYPERLINK("https://drive.google.com/open?id=0B3K8v8jgE390djZRRE9xSGQ5MjQ","Договор")</f>
        <v>Договор</v>
      </c>
      <c r="S73" s="22" t="str">
        <f>HYPERLINK("https://drive.google.com/open?id=1ideqpKnvrZHFWN_wOpnP43JTJ3o8PI4Y","Документы")</f>
        <v>Документы</v>
      </c>
      <c r="T73" s="5"/>
      <c r="U73" s="5"/>
    </row>
    <row r="74" spans="1:21" ht="110.25">
      <c r="A74" s="10">
        <v>66</v>
      </c>
      <c r="B74" s="10" t="s">
        <v>20</v>
      </c>
      <c r="C74" s="10" t="s">
        <v>22</v>
      </c>
      <c r="D74" s="10" t="s">
        <v>21</v>
      </c>
      <c r="E74" s="35" t="s">
        <v>288</v>
      </c>
      <c r="F74" s="11" t="s">
        <v>289</v>
      </c>
      <c r="G74" s="48" t="s">
        <v>762</v>
      </c>
      <c r="H74" s="24" t="s">
        <v>290</v>
      </c>
      <c r="I74" s="11">
        <v>42788</v>
      </c>
      <c r="J74" s="18">
        <v>3464525.92</v>
      </c>
      <c r="K74" s="18" t="s">
        <v>291</v>
      </c>
      <c r="L74" s="25" t="s">
        <v>130</v>
      </c>
      <c r="M74" s="12">
        <v>43056</v>
      </c>
      <c r="N74" s="10" t="s">
        <v>292</v>
      </c>
      <c r="O74" s="10" t="s">
        <v>293</v>
      </c>
      <c r="P74" s="14">
        <v>3321012860</v>
      </c>
      <c r="Q74" s="21"/>
      <c r="R74" s="22" t="str">
        <f>HYPERLINK("https://drive.google.com/open?id=0B3K8v8jgE390NW5GM1JuQnpCdGM","Договор")</f>
        <v>Договор</v>
      </c>
      <c r="S74" s="22" t="str">
        <f>HYPERLINK("https://drive.google.com/open?id=1dTOEPSU9UZYVB-zfcru8g_uI66d3zuBY","Документы")</f>
        <v>Документы</v>
      </c>
      <c r="T74" s="5"/>
      <c r="U74" s="5"/>
    </row>
    <row r="75" spans="1:21" ht="126">
      <c r="A75" s="10">
        <v>67</v>
      </c>
      <c r="B75" s="10" t="s">
        <v>20</v>
      </c>
      <c r="C75" s="10" t="s">
        <v>22</v>
      </c>
      <c r="D75" s="10" t="s">
        <v>21</v>
      </c>
      <c r="E75" s="35" t="s">
        <v>294</v>
      </c>
      <c r="F75" s="11" t="s">
        <v>295</v>
      </c>
      <c r="G75" s="39" t="s">
        <v>406</v>
      </c>
      <c r="H75" s="24" t="s">
        <v>296</v>
      </c>
      <c r="I75" s="11">
        <v>42885</v>
      </c>
      <c r="J75" s="18">
        <v>6088739.9100000001</v>
      </c>
      <c r="K75" s="18">
        <v>4992766.71</v>
      </c>
      <c r="L75" s="25" t="s">
        <v>297</v>
      </c>
      <c r="M75" s="12">
        <v>43032</v>
      </c>
      <c r="N75" s="10" t="s">
        <v>298</v>
      </c>
      <c r="O75" s="10" t="s">
        <v>299</v>
      </c>
      <c r="P75" s="14">
        <v>3329028076</v>
      </c>
      <c r="Q75" s="21"/>
      <c r="R75" s="22" t="str">
        <f>HYPERLINK("https://drive.google.com/open?id=0B3K8v8jgE390ZmtHX1ZrWElCdE0","Договор")</f>
        <v>Договор</v>
      </c>
      <c r="S75" s="22" t="str">
        <f>HYPERLINK("https://drive.google.com/open?id=16ijEwsUURJC5PokSfuu8heaAHW2orG5R","Документы")</f>
        <v>Документы</v>
      </c>
      <c r="T75" s="5"/>
      <c r="U75" s="5"/>
    </row>
    <row r="76" spans="1:21" ht="204.75">
      <c r="A76" s="10">
        <v>68</v>
      </c>
      <c r="B76" s="10" t="s">
        <v>20</v>
      </c>
      <c r="C76" s="10" t="s">
        <v>22</v>
      </c>
      <c r="D76" s="10" t="s">
        <v>21</v>
      </c>
      <c r="E76" s="35" t="s">
        <v>300</v>
      </c>
      <c r="F76" s="11" t="s">
        <v>301</v>
      </c>
      <c r="G76" s="39" t="s">
        <v>407</v>
      </c>
      <c r="H76" s="24" t="s">
        <v>302</v>
      </c>
      <c r="I76" s="11">
        <v>42779</v>
      </c>
      <c r="J76" s="18">
        <v>175622.61</v>
      </c>
      <c r="K76" s="18">
        <v>148832.72</v>
      </c>
      <c r="L76" s="25">
        <v>0</v>
      </c>
      <c r="M76" s="12" t="s">
        <v>91</v>
      </c>
      <c r="N76" s="12" t="s">
        <v>92</v>
      </c>
      <c r="O76" s="10" t="s">
        <v>93</v>
      </c>
      <c r="P76" s="23">
        <v>3327100418</v>
      </c>
      <c r="Q76" s="21"/>
      <c r="R76" s="22" t="str">
        <f>HYPERLINK("https://drive.google.com/open?id=0B3K8v8jgE390dDg0aGlyNGw0ZW8","Договор")</f>
        <v>Договор</v>
      </c>
      <c r="S76" s="22" t="str">
        <f>HYPERLINK("https://drive.google.com/open?id=1tWf7836tBjAiZJXJQ9_0cOjmJIgFhnkJ","Документы")</f>
        <v>Документы</v>
      </c>
      <c r="T76" s="5"/>
      <c r="U76" s="5"/>
    </row>
    <row r="77" spans="1:21" ht="110.25">
      <c r="A77" s="10">
        <v>69</v>
      </c>
      <c r="B77" s="10" t="s">
        <v>20</v>
      </c>
      <c r="C77" s="10" t="s">
        <v>22</v>
      </c>
      <c r="D77" s="10" t="s">
        <v>21</v>
      </c>
      <c r="E77" s="35" t="s">
        <v>303</v>
      </c>
      <c r="F77" s="11" t="s">
        <v>304</v>
      </c>
      <c r="G77" s="39" t="s">
        <v>408</v>
      </c>
      <c r="H77" s="24" t="s">
        <v>305</v>
      </c>
      <c r="I77" s="11">
        <v>42783</v>
      </c>
      <c r="J77" s="18">
        <v>644177.72</v>
      </c>
      <c r="K77" s="18">
        <v>600660.31000000006</v>
      </c>
      <c r="L77" s="25">
        <v>0</v>
      </c>
      <c r="M77" s="12">
        <v>42954</v>
      </c>
      <c r="N77" s="10" t="s">
        <v>18</v>
      </c>
      <c r="O77" s="10" t="s">
        <v>19</v>
      </c>
      <c r="P77" s="14">
        <v>332600108871</v>
      </c>
      <c r="Q77" s="21"/>
      <c r="R77" s="22" t="str">
        <f>HYPERLINK("https://drive.google.com/open?id=0B3K8v8jgE390UXc3R2JJanlKTFE","Договор")</f>
        <v>Договор</v>
      </c>
      <c r="S77" s="22" t="str">
        <f>HYPERLINK("https://drive.google.com/open?id=0B3K8v8jgE390T1Jldi1ZNHpzT00","Документы")</f>
        <v>Документы</v>
      </c>
      <c r="T77" s="5"/>
      <c r="U77" s="5"/>
    </row>
    <row r="78" spans="1:21" ht="126">
      <c r="A78" s="10">
        <v>70</v>
      </c>
      <c r="B78" s="10" t="s">
        <v>20</v>
      </c>
      <c r="C78" s="10" t="s">
        <v>22</v>
      </c>
      <c r="D78" s="10" t="s">
        <v>21</v>
      </c>
      <c r="E78" s="35" t="s">
        <v>306</v>
      </c>
      <c r="F78" s="11" t="s">
        <v>307</v>
      </c>
      <c r="G78" s="39" t="s">
        <v>409</v>
      </c>
      <c r="H78" s="24" t="s">
        <v>308</v>
      </c>
      <c r="I78" s="11">
        <v>42885</v>
      </c>
      <c r="J78" s="18">
        <v>3077778.39</v>
      </c>
      <c r="K78" s="18">
        <v>2799210</v>
      </c>
      <c r="L78" s="25" t="s">
        <v>309</v>
      </c>
      <c r="M78" s="12">
        <v>43014</v>
      </c>
      <c r="N78" s="12" t="s">
        <v>191</v>
      </c>
      <c r="O78" s="10" t="s">
        <v>192</v>
      </c>
      <c r="P78" s="23">
        <v>3327118743</v>
      </c>
      <c r="Q78" s="21"/>
      <c r="R78" s="22" t="str">
        <f>HYPERLINK("https://drive.google.com/open?id=0B3K8v8jgE390OUVkRXA3MzZFZXM","Договор")</f>
        <v>Договор</v>
      </c>
      <c r="S78" s="22" t="str">
        <f>HYPERLINK("https://drive.google.com/open?id=1U-325kr_jEeTtSwMH2YW-UzpXBO3wq9K","Документы")</f>
        <v>Документы</v>
      </c>
      <c r="T78" s="5"/>
      <c r="U78" s="5"/>
    </row>
    <row r="79" spans="1:21" ht="94.5">
      <c r="A79" s="10">
        <v>71</v>
      </c>
      <c r="B79" s="10" t="s">
        <v>20</v>
      </c>
      <c r="C79" s="10" t="s">
        <v>22</v>
      </c>
      <c r="D79" s="10" t="s">
        <v>21</v>
      </c>
      <c r="E79" s="35" t="s">
        <v>310</v>
      </c>
      <c r="F79" s="11" t="s">
        <v>311</v>
      </c>
      <c r="G79" s="39" t="s">
        <v>410</v>
      </c>
      <c r="H79" s="24" t="s">
        <v>312</v>
      </c>
      <c r="I79" s="11">
        <v>42671</v>
      </c>
      <c r="J79" s="18">
        <v>4010399.82</v>
      </c>
      <c r="K79" s="18">
        <v>3707045.62</v>
      </c>
      <c r="L79" s="25" t="s">
        <v>130</v>
      </c>
      <c r="M79" s="12">
        <v>43039</v>
      </c>
      <c r="N79" s="10" t="s">
        <v>313</v>
      </c>
      <c r="O79" s="10" t="s">
        <v>314</v>
      </c>
      <c r="P79" s="14">
        <v>3328442686</v>
      </c>
      <c r="Q79" s="21"/>
      <c r="R79" s="22" t="str">
        <f>HYPERLINK("https://drive.google.com/open?id=0B3K8v8jgE390NzF1ZEphQzBOU2c","Договор")</f>
        <v>Договор</v>
      </c>
      <c r="S79" s="22" t="str">
        <f>HYPERLINK("https://drive.google.com/open?id=1Z6H33ZsOnHF9Ffy02eoaGrGDufVpT5pO","Документы")</f>
        <v>Документы</v>
      </c>
      <c r="T79" s="5"/>
      <c r="U79" s="5"/>
    </row>
    <row r="80" spans="1:21" ht="110.25">
      <c r="A80" s="10">
        <v>72</v>
      </c>
      <c r="B80" s="10" t="s">
        <v>20</v>
      </c>
      <c r="C80" s="10" t="s">
        <v>22</v>
      </c>
      <c r="D80" s="10" t="s">
        <v>21</v>
      </c>
      <c r="E80" s="35" t="s">
        <v>315</v>
      </c>
      <c r="F80" s="11" t="s">
        <v>316</v>
      </c>
      <c r="G80" s="39" t="s">
        <v>411</v>
      </c>
      <c r="H80" s="24" t="s">
        <v>317</v>
      </c>
      <c r="I80" s="11">
        <v>42885</v>
      </c>
      <c r="J80" s="18">
        <v>3513414.25</v>
      </c>
      <c r="K80" s="18">
        <v>3266765.62</v>
      </c>
      <c r="L80" s="25">
        <v>0</v>
      </c>
      <c r="M80" s="12">
        <v>43022</v>
      </c>
      <c r="N80" s="12" t="s">
        <v>280</v>
      </c>
      <c r="O80" s="10" t="s">
        <v>281</v>
      </c>
      <c r="P80" s="23">
        <v>3329001162</v>
      </c>
      <c r="Q80" s="21"/>
      <c r="R80" s="22" t="str">
        <f>HYPERLINK("https://drive.google.com/open?id=0B3K8v8jgE390bmhvOVpHdUd2RUE","Договор")</f>
        <v>Договор</v>
      </c>
      <c r="S80" s="22" t="str">
        <f>HYPERLINK("https://drive.google.com/open?id=15UjryHjVNn_EipoEQaAttBAG09gBCrth","Документы")</f>
        <v>Документы</v>
      </c>
      <c r="T80" s="5"/>
      <c r="U80" s="5"/>
    </row>
    <row r="81" spans="1:21" ht="110.25">
      <c r="A81" s="10">
        <v>73</v>
      </c>
      <c r="B81" s="10" t="s">
        <v>20</v>
      </c>
      <c r="C81" s="10" t="s">
        <v>22</v>
      </c>
      <c r="D81" s="10" t="s">
        <v>21</v>
      </c>
      <c r="E81" s="35" t="s">
        <v>318</v>
      </c>
      <c r="F81" s="11" t="s">
        <v>319</v>
      </c>
      <c r="G81" s="39" t="s">
        <v>412</v>
      </c>
      <c r="H81" s="24" t="s">
        <v>320</v>
      </c>
      <c r="I81" s="11">
        <v>42874</v>
      </c>
      <c r="J81" s="18">
        <v>141230.13</v>
      </c>
      <c r="K81" s="18">
        <v>119686.55</v>
      </c>
      <c r="L81" s="25">
        <v>0</v>
      </c>
      <c r="M81" s="12" t="s">
        <v>262</v>
      </c>
      <c r="N81" s="12" t="s">
        <v>145</v>
      </c>
      <c r="O81" s="10" t="s">
        <v>146</v>
      </c>
      <c r="P81" s="28">
        <v>3329035500</v>
      </c>
      <c r="Q81" s="21"/>
      <c r="R81" s="22" t="str">
        <f>HYPERLINK("https://drive.google.com/open?id=0B3K8v8jgE390dnF5SWdmX3JzV3M","Договор")</f>
        <v>Договор</v>
      </c>
      <c r="S81" s="22" t="str">
        <f>HYPERLINK("https://drive.google.com/open?id=1sWgGi5b5SJLNyyhn9_gvBN8yizi_WGNp","Документы")</f>
        <v>Документы</v>
      </c>
      <c r="T81" s="5"/>
      <c r="U81" s="5"/>
    </row>
    <row r="82" spans="1:21" ht="409.5">
      <c r="A82" s="10">
        <v>74</v>
      </c>
      <c r="B82" s="10" t="s">
        <v>20</v>
      </c>
      <c r="C82" s="10" t="s">
        <v>22</v>
      </c>
      <c r="D82" s="10" t="s">
        <v>21</v>
      </c>
      <c r="E82" s="35" t="s">
        <v>321</v>
      </c>
      <c r="F82" s="11" t="s">
        <v>322</v>
      </c>
      <c r="G82" s="39" t="s">
        <v>413</v>
      </c>
      <c r="H82" s="24" t="s">
        <v>323</v>
      </c>
      <c r="I82" s="11">
        <v>42874</v>
      </c>
      <c r="J82" s="18">
        <v>351747.74</v>
      </c>
      <c r="K82" s="18">
        <v>298091.3</v>
      </c>
      <c r="L82" s="25">
        <v>0</v>
      </c>
      <c r="M82" s="12" t="s">
        <v>100</v>
      </c>
      <c r="N82" s="12" t="s">
        <v>145</v>
      </c>
      <c r="O82" s="10" t="s">
        <v>146</v>
      </c>
      <c r="P82" s="28">
        <v>3329035500</v>
      </c>
      <c r="Q82" s="21"/>
      <c r="R82" s="22" t="str">
        <f>HYPERLINK("https://drive.google.com/open?id=0B3K8v8jgE390blh5ZmRSQl9yTWM","Договор")</f>
        <v>Договор</v>
      </c>
      <c r="S82" s="22" t="str">
        <f>HYPERLINK("https://drive.google.com/open?id=1q-Bdy2Y5Vqx2MUapbZtSBePR0RHEvH_5","Документы")</f>
        <v>Документы</v>
      </c>
      <c r="T82" s="5"/>
      <c r="U82" s="5"/>
    </row>
    <row r="83" spans="1:21" ht="409.5">
      <c r="A83" s="10">
        <v>75</v>
      </c>
      <c r="B83" s="10" t="s">
        <v>20</v>
      </c>
      <c r="C83" s="10" t="s">
        <v>22</v>
      </c>
      <c r="D83" s="10" t="s">
        <v>21</v>
      </c>
      <c r="E83" s="35" t="s">
        <v>324</v>
      </c>
      <c r="F83" s="11" t="s">
        <v>325</v>
      </c>
      <c r="G83" s="39" t="s">
        <v>414</v>
      </c>
      <c r="H83" s="24" t="s">
        <v>326</v>
      </c>
      <c r="I83" s="11">
        <v>42874</v>
      </c>
      <c r="J83" s="18">
        <v>742542.06</v>
      </c>
      <c r="K83" s="18">
        <v>629272.93000000005</v>
      </c>
      <c r="L83" s="25">
        <v>0</v>
      </c>
      <c r="M83" s="12" t="s">
        <v>100</v>
      </c>
      <c r="N83" s="12" t="s">
        <v>145</v>
      </c>
      <c r="O83" s="10" t="s">
        <v>146</v>
      </c>
      <c r="P83" s="28">
        <v>3329035500</v>
      </c>
      <c r="Q83" s="21"/>
      <c r="R83" s="22" t="str">
        <f>HYPERLINK("https://drive.google.com/open?id=0B3K8v8jgE390SGtCbkhEZnEwdEU","Договор")</f>
        <v>Договор</v>
      </c>
      <c r="S83" s="22" t="str">
        <f>HYPERLINK("https://drive.google.com/open?id=13y9bjeGCCtGwzahd1PwGgdxsF_6AWzp4","Документы")</f>
        <v>Документы</v>
      </c>
      <c r="T83" s="5"/>
      <c r="U83" s="5"/>
    </row>
    <row r="84" spans="1:21" ht="126">
      <c r="A84" s="10">
        <v>76</v>
      </c>
      <c r="B84" s="10" t="s">
        <v>20</v>
      </c>
      <c r="C84" s="10" t="s">
        <v>22</v>
      </c>
      <c r="D84" s="10" t="s">
        <v>21</v>
      </c>
      <c r="E84" s="35" t="s">
        <v>327</v>
      </c>
      <c r="F84" s="11" t="s">
        <v>328</v>
      </c>
      <c r="G84" s="39" t="s">
        <v>415</v>
      </c>
      <c r="H84" s="24" t="s">
        <v>329</v>
      </c>
      <c r="I84" s="11">
        <v>42874</v>
      </c>
      <c r="J84" s="18">
        <v>157538.35</v>
      </c>
      <c r="K84" s="18">
        <v>133507.07999999999</v>
      </c>
      <c r="L84" s="25">
        <v>0</v>
      </c>
      <c r="M84" s="12" t="s">
        <v>262</v>
      </c>
      <c r="N84" s="12" t="s">
        <v>145</v>
      </c>
      <c r="O84" s="10" t="s">
        <v>146</v>
      </c>
      <c r="P84" s="28">
        <v>3329035500</v>
      </c>
      <c r="Q84" s="21"/>
      <c r="R84" s="22" t="str">
        <f>HYPERLINK("https://drive.google.com/open?id=0B3K8v8jgE390LWFZSTJrX2dld2M","Договор")</f>
        <v>Договор</v>
      </c>
      <c r="S84" s="22" t="str">
        <f>HYPERLINK("https://drive.google.com/open?id=1LEbYzqPapUTHDV5qWWYJQ53BuqJkIAwn","Документы")</f>
        <v>Документы</v>
      </c>
      <c r="T84" s="5"/>
      <c r="U84" s="5"/>
    </row>
    <row r="85" spans="1:21" ht="283.5">
      <c r="A85" s="10">
        <v>77</v>
      </c>
      <c r="B85" s="10" t="s">
        <v>20</v>
      </c>
      <c r="C85" s="10" t="s">
        <v>22</v>
      </c>
      <c r="D85" s="10" t="s">
        <v>21</v>
      </c>
      <c r="E85" s="35" t="s">
        <v>330</v>
      </c>
      <c r="F85" s="11" t="s">
        <v>331</v>
      </c>
      <c r="G85" s="39" t="s">
        <v>416</v>
      </c>
      <c r="H85" s="24" t="s">
        <v>332</v>
      </c>
      <c r="I85" s="11">
        <v>42874</v>
      </c>
      <c r="J85" s="18" t="s">
        <v>333</v>
      </c>
      <c r="K85" s="18">
        <v>358669.49</v>
      </c>
      <c r="L85" s="25">
        <v>0</v>
      </c>
      <c r="M85" s="12" t="s">
        <v>100</v>
      </c>
      <c r="N85" s="12" t="s">
        <v>145</v>
      </c>
      <c r="O85" s="10" t="s">
        <v>146</v>
      </c>
      <c r="P85" s="28">
        <v>3329035500</v>
      </c>
      <c r="Q85" s="21"/>
      <c r="R85" s="22" t="str">
        <f>HYPERLINK("https://drive.google.com/open?id=0B3K8v8jgE390dHAxc0F1aE84akk","Договор")</f>
        <v>Договор</v>
      </c>
      <c r="S85" s="22" t="str">
        <f>HYPERLINK("https://drive.google.com/open?id=1kFpeHNG78bsV1enWY8uMVPBYDGztTg6K","Документы")</f>
        <v>Документы</v>
      </c>
      <c r="T85" s="5"/>
      <c r="U85" s="5"/>
    </row>
    <row r="86" spans="1:21" ht="126">
      <c r="A86" s="10">
        <v>78</v>
      </c>
      <c r="B86" s="10" t="s">
        <v>20</v>
      </c>
      <c r="C86" s="10" t="s">
        <v>22</v>
      </c>
      <c r="D86" s="10" t="s">
        <v>21</v>
      </c>
      <c r="E86" s="35" t="s">
        <v>334</v>
      </c>
      <c r="F86" s="11" t="s">
        <v>335</v>
      </c>
      <c r="G86" s="39" t="s">
        <v>562</v>
      </c>
      <c r="H86" s="24" t="s">
        <v>336</v>
      </c>
      <c r="I86" s="26">
        <v>42793</v>
      </c>
      <c r="J86" s="18">
        <v>6010696.6500000004</v>
      </c>
      <c r="K86" s="18">
        <v>5545752.7000000002</v>
      </c>
      <c r="L86" s="25">
        <v>0</v>
      </c>
      <c r="M86" s="12">
        <v>43022</v>
      </c>
      <c r="N86" s="12" t="s">
        <v>120</v>
      </c>
      <c r="O86" s="10" t="s">
        <v>121</v>
      </c>
      <c r="P86" s="23">
        <v>3305713379</v>
      </c>
      <c r="Q86" s="21"/>
      <c r="R86" s="22" t="str">
        <f>HYPERLINK("https://drive.google.com/open?id=0B3K8v8jgE390N0RyaGMxb0FZQk0","Договор")</f>
        <v>Договор</v>
      </c>
      <c r="S86" s="22" t="str">
        <f>HYPERLINK("https://drive.google.com/open?id=1fauiCL1GIZ4jAj0GKx6oj6VChctmn2A3","Документы")</f>
        <v>Документы</v>
      </c>
      <c r="T86" s="5"/>
      <c r="U86" s="5"/>
    </row>
    <row r="87" spans="1:21" ht="110.25">
      <c r="A87" s="10">
        <v>79</v>
      </c>
      <c r="B87" s="10" t="s">
        <v>20</v>
      </c>
      <c r="C87" s="10" t="s">
        <v>22</v>
      </c>
      <c r="D87" s="10" t="s">
        <v>21</v>
      </c>
      <c r="E87" s="35" t="s">
        <v>337</v>
      </c>
      <c r="F87" s="11" t="s">
        <v>338</v>
      </c>
      <c r="G87" s="39">
        <v>42942</v>
      </c>
      <c r="H87" s="24" t="s">
        <v>339</v>
      </c>
      <c r="I87" s="11">
        <v>42793</v>
      </c>
      <c r="J87" s="18">
        <v>1857608.27</v>
      </c>
      <c r="K87" s="18">
        <v>1848320</v>
      </c>
      <c r="L87" s="25">
        <v>0.5</v>
      </c>
      <c r="M87" s="12">
        <v>42998</v>
      </c>
      <c r="N87" s="12" t="s">
        <v>223</v>
      </c>
      <c r="O87" s="10" t="s">
        <v>224</v>
      </c>
      <c r="P87" s="23">
        <v>3327839216</v>
      </c>
      <c r="Q87" s="21"/>
      <c r="R87" s="22" t="str">
        <f>HYPERLINK("https://drive.google.com/open?id=0B3K8v8jgE390SW5RU3VBYzdMLTQ","Договор")</f>
        <v>Договор</v>
      </c>
      <c r="S87" s="5"/>
      <c r="T87" s="5"/>
      <c r="U87" s="5"/>
    </row>
    <row r="88" spans="1:21" ht="94.5">
      <c r="A88" s="10">
        <v>80</v>
      </c>
      <c r="B88" s="10" t="s">
        <v>20</v>
      </c>
      <c r="C88" s="10" t="s">
        <v>22</v>
      </c>
      <c r="D88" s="10" t="s">
        <v>21</v>
      </c>
      <c r="E88" s="35" t="s">
        <v>340</v>
      </c>
      <c r="F88" s="11" t="s">
        <v>341</v>
      </c>
      <c r="G88" s="39" t="s">
        <v>417</v>
      </c>
      <c r="H88" s="24" t="s">
        <v>342</v>
      </c>
      <c r="I88" s="11">
        <v>42793</v>
      </c>
      <c r="J88" s="18">
        <v>1215939.5900000001</v>
      </c>
      <c r="K88" s="18">
        <v>1133909.3500000001</v>
      </c>
      <c r="L88" s="25">
        <v>0</v>
      </c>
      <c r="M88" s="12">
        <v>42974</v>
      </c>
      <c r="N88" s="12" t="s">
        <v>115</v>
      </c>
      <c r="O88" s="10" t="s">
        <v>116</v>
      </c>
      <c r="P88" s="23">
        <v>3326000435</v>
      </c>
      <c r="Q88" s="21"/>
      <c r="R88" s="22" t="str">
        <f>HYPERLINK("https://drive.google.com/open?id=0B3K8v8jgE390VGVBT2ZLdnRvR3c","Договор")</f>
        <v>Договор</v>
      </c>
      <c r="S88" s="22" t="str">
        <f>HYPERLINK("https://drive.google.com/open?id=1130O0W-LGpkn53Wf_j_vLDX2ji2GDE2A","Документы")</f>
        <v>Документы</v>
      </c>
      <c r="T88" s="5"/>
      <c r="U88" s="5"/>
    </row>
    <row r="89" spans="1:21" ht="121.5" customHeight="1">
      <c r="A89" s="46">
        <v>81</v>
      </c>
      <c r="B89" s="46" t="s">
        <v>20</v>
      </c>
      <c r="C89" s="46" t="s">
        <v>22</v>
      </c>
      <c r="D89" s="46" t="s">
        <v>21</v>
      </c>
      <c r="E89" s="47" t="s">
        <v>418</v>
      </c>
      <c r="F89" s="48" t="s">
        <v>419</v>
      </c>
      <c r="G89" s="48" t="s">
        <v>420</v>
      </c>
      <c r="H89" s="49" t="s">
        <v>421</v>
      </c>
      <c r="I89" s="48">
        <v>42884</v>
      </c>
      <c r="J89" s="50">
        <v>4836494.4000000004</v>
      </c>
      <c r="K89" s="50">
        <v>4836494.4000000004</v>
      </c>
      <c r="L89" s="51">
        <v>0</v>
      </c>
      <c r="M89" s="48" t="s">
        <v>422</v>
      </c>
      <c r="N89" s="48" t="s">
        <v>204</v>
      </c>
      <c r="O89" s="46" t="s">
        <v>205</v>
      </c>
      <c r="P89" s="52">
        <v>3329059194</v>
      </c>
      <c r="Q89" s="53"/>
      <c r="R89" s="22" t="str">
        <f>HYPERLINK("https://drive.google.com/open?id=0B3K8v8jgE390RHhpREJJWUVoM2s","Договор")</f>
        <v>Договор</v>
      </c>
      <c r="S89" s="54"/>
      <c r="T89" s="54"/>
      <c r="U89" s="54"/>
    </row>
    <row r="90" spans="1:21" ht="94.5">
      <c r="A90" s="46">
        <v>82</v>
      </c>
      <c r="B90" s="46" t="s">
        <v>20</v>
      </c>
      <c r="C90" s="46" t="s">
        <v>22</v>
      </c>
      <c r="D90" s="46" t="s">
        <v>21</v>
      </c>
      <c r="E90" s="47" t="s">
        <v>423</v>
      </c>
      <c r="F90" s="48" t="s">
        <v>424</v>
      </c>
      <c r="G90" s="48" t="s">
        <v>425</v>
      </c>
      <c r="H90" s="49" t="s">
        <v>426</v>
      </c>
      <c r="I90" s="48">
        <v>42793</v>
      </c>
      <c r="J90" s="50">
        <v>1342818.29</v>
      </c>
      <c r="K90" s="50" t="s">
        <v>427</v>
      </c>
      <c r="L90" s="51" t="s">
        <v>428</v>
      </c>
      <c r="M90" s="48">
        <v>43013</v>
      </c>
      <c r="N90" s="46" t="s">
        <v>31</v>
      </c>
      <c r="O90" s="46" t="s">
        <v>32</v>
      </c>
      <c r="P90" s="55">
        <v>3304016992</v>
      </c>
      <c r="Q90" s="53" t="s">
        <v>429</v>
      </c>
      <c r="R90" s="22" t="str">
        <f>HYPERLINK("https://drive.google.com/open?id=0B3K8v8jgE390YnBSQTlOQkEyc28","Договор")</f>
        <v>Договор</v>
      </c>
      <c r="S90" s="22" t="str">
        <f>HYPERLINK("https://drive.google.com/open?id=0B3K8v8jgE390UlNFcWtQVkNTVm8","Документы")</f>
        <v>Документы</v>
      </c>
      <c r="T90" s="54"/>
      <c r="U90" s="54"/>
    </row>
    <row r="91" spans="1:21" ht="116.25" customHeight="1">
      <c r="A91" s="46">
        <v>83</v>
      </c>
      <c r="B91" s="46" t="s">
        <v>20</v>
      </c>
      <c r="C91" s="46" t="s">
        <v>22</v>
      </c>
      <c r="D91" s="46" t="s">
        <v>21</v>
      </c>
      <c r="E91" s="47" t="s">
        <v>430</v>
      </c>
      <c r="F91" s="48" t="s">
        <v>431</v>
      </c>
      <c r="G91" s="48" t="s">
        <v>432</v>
      </c>
      <c r="H91" s="49" t="s">
        <v>433</v>
      </c>
      <c r="I91" s="48">
        <v>42885</v>
      </c>
      <c r="J91" s="50">
        <v>2351080.16</v>
      </c>
      <c r="K91" s="50">
        <v>2057195.16</v>
      </c>
      <c r="L91" s="51" t="s">
        <v>434</v>
      </c>
      <c r="M91" s="48">
        <v>43007</v>
      </c>
      <c r="N91" s="46" t="s">
        <v>435</v>
      </c>
      <c r="O91" s="46" t="s">
        <v>436</v>
      </c>
      <c r="P91" s="56">
        <v>333410637100</v>
      </c>
      <c r="Q91" s="53" t="s">
        <v>437</v>
      </c>
      <c r="R91" s="22" t="str">
        <f>HYPERLINK("https://drive.google.com/open?id=0B3K8v8jgE390N3VrMTlSVHVFWWs","Договор")</f>
        <v>Договор</v>
      </c>
      <c r="S91" s="54"/>
      <c r="T91" s="54"/>
      <c r="U91" s="54"/>
    </row>
    <row r="92" spans="1:21" ht="109.5" customHeight="1">
      <c r="A92" s="46">
        <v>84</v>
      </c>
      <c r="B92" s="46" t="s">
        <v>20</v>
      </c>
      <c r="C92" s="46" t="s">
        <v>22</v>
      </c>
      <c r="D92" s="46" t="s">
        <v>21</v>
      </c>
      <c r="E92" s="47" t="s">
        <v>438</v>
      </c>
      <c r="F92" s="48" t="s">
        <v>439</v>
      </c>
      <c r="G92" s="48" t="s">
        <v>440</v>
      </c>
      <c r="H92" s="49" t="s">
        <v>441</v>
      </c>
      <c r="I92" s="48">
        <v>42885</v>
      </c>
      <c r="J92" s="50">
        <v>5825599.6699999999</v>
      </c>
      <c r="K92" s="50">
        <v>5825599.6699999999</v>
      </c>
      <c r="L92" s="51">
        <v>0</v>
      </c>
      <c r="M92" s="48">
        <v>43100</v>
      </c>
      <c r="N92" s="46" t="s">
        <v>442</v>
      </c>
      <c r="O92" s="46" t="s">
        <v>443</v>
      </c>
      <c r="P92" s="56">
        <v>3525161388</v>
      </c>
      <c r="Q92" s="53"/>
      <c r="R92" s="22" t="str">
        <f>HYPERLINK("https://drive.google.com/open?id=0B3K8v8jgE390dHplOUtoTXdzeXc","Договор")</f>
        <v>Договор</v>
      </c>
      <c r="S92" s="22" t="str">
        <f>HYPERLINK("https://drive.google.com/open?id=1sr7OnyVKHbx0qg2dCFLwHe9VYMYy7_vw","Документы")</f>
        <v>Документы</v>
      </c>
      <c r="T92" s="54"/>
      <c r="U92" s="54"/>
    </row>
    <row r="93" spans="1:21" ht="109.5" customHeight="1">
      <c r="A93" s="46">
        <v>85</v>
      </c>
      <c r="B93" s="46" t="s">
        <v>20</v>
      </c>
      <c r="C93" s="46" t="s">
        <v>22</v>
      </c>
      <c r="D93" s="46" t="s">
        <v>21</v>
      </c>
      <c r="E93" s="47" t="s">
        <v>444</v>
      </c>
      <c r="F93" s="48" t="s">
        <v>445</v>
      </c>
      <c r="G93" s="48" t="s">
        <v>446</v>
      </c>
      <c r="H93" s="49" t="s">
        <v>447</v>
      </c>
      <c r="I93" s="48">
        <v>42885</v>
      </c>
      <c r="J93" s="50">
        <v>6147361.8700000001</v>
      </c>
      <c r="K93" s="50">
        <v>6147361.8700000001</v>
      </c>
      <c r="L93" s="51">
        <v>0</v>
      </c>
      <c r="M93" s="48">
        <v>43100</v>
      </c>
      <c r="N93" s="46" t="s">
        <v>442</v>
      </c>
      <c r="O93" s="46" t="s">
        <v>443</v>
      </c>
      <c r="P93" s="56">
        <v>3525161388</v>
      </c>
      <c r="Q93" s="53"/>
      <c r="R93" s="22" t="str">
        <f>HYPERLINK("https://drive.google.com/open?id=0B3K8v8jgE390cDcwYmI3MFNwdkU","Договор")</f>
        <v>Договор</v>
      </c>
      <c r="S93" s="22" t="str">
        <f>HYPERLINK("https://drive.google.com/open?id=17yfRHEJJtnmk3E7-PngkCn1M7DA-8Voh","Документы")</f>
        <v>Документы</v>
      </c>
      <c r="T93" s="54"/>
      <c r="U93" s="54"/>
    </row>
    <row r="94" spans="1:21" ht="110.25">
      <c r="A94" s="46">
        <v>86</v>
      </c>
      <c r="B94" s="46" t="s">
        <v>20</v>
      </c>
      <c r="C94" s="46" t="s">
        <v>22</v>
      </c>
      <c r="D94" s="46" t="s">
        <v>21</v>
      </c>
      <c r="E94" s="47" t="s">
        <v>448</v>
      </c>
      <c r="F94" s="48" t="s">
        <v>449</v>
      </c>
      <c r="G94" s="48" t="s">
        <v>450</v>
      </c>
      <c r="H94" s="49" t="s">
        <v>451</v>
      </c>
      <c r="I94" s="48">
        <v>42671</v>
      </c>
      <c r="J94" s="50" t="s">
        <v>452</v>
      </c>
      <c r="K94" s="50" t="s">
        <v>452</v>
      </c>
      <c r="L94" s="51">
        <v>0</v>
      </c>
      <c r="M94" s="48">
        <v>43100</v>
      </c>
      <c r="N94" s="48" t="s">
        <v>53</v>
      </c>
      <c r="O94" s="46" t="s">
        <v>54</v>
      </c>
      <c r="P94" s="52">
        <v>3329058867</v>
      </c>
      <c r="Q94" s="53"/>
      <c r="R94" s="22" t="str">
        <f>HYPERLINK("https://drive.google.com/open?id=0B3K8v8jgE390M1NpVi01ZUVvaWM","Договор")</f>
        <v>Договор</v>
      </c>
      <c r="S94" s="22" t="str">
        <f>HYPERLINK("https://drive.google.com/open?id=17LE3te5tfiPk8Ux1o1oBp9aOUzGTeVtY","Документы")</f>
        <v>Документы</v>
      </c>
      <c r="T94" s="54"/>
      <c r="U94" s="54"/>
    </row>
    <row r="95" spans="1:21" ht="110.25">
      <c r="A95" s="46">
        <v>87</v>
      </c>
      <c r="B95" s="46" t="s">
        <v>20</v>
      </c>
      <c r="C95" s="46" t="s">
        <v>22</v>
      </c>
      <c r="D95" s="46" t="s">
        <v>21</v>
      </c>
      <c r="E95" s="47" t="s">
        <v>453</v>
      </c>
      <c r="F95" s="48" t="s">
        <v>454</v>
      </c>
      <c r="G95" s="48" t="s">
        <v>455</v>
      </c>
      <c r="H95" s="49" t="s">
        <v>456</v>
      </c>
      <c r="I95" s="48">
        <v>42885</v>
      </c>
      <c r="J95" s="50">
        <v>8280860.3899999997</v>
      </c>
      <c r="K95" s="50">
        <v>7369965.79</v>
      </c>
      <c r="L95" s="51">
        <v>0.11</v>
      </c>
      <c r="M95" s="48">
        <v>43100</v>
      </c>
      <c r="N95" s="48" t="s">
        <v>457</v>
      </c>
      <c r="O95" s="46" t="s">
        <v>458</v>
      </c>
      <c r="P95" s="52">
        <v>332903482324</v>
      </c>
      <c r="Q95" s="53" t="s">
        <v>459</v>
      </c>
      <c r="R95" s="22" t="str">
        <f>HYPERLINK("https://drive.google.com/open?id=0B3K8v8jgE390Mzc3SllBTlFGOGc","Договор")</f>
        <v>Договор</v>
      </c>
      <c r="S95" s="22" t="str">
        <f>HYPERLINK("https://drive.google.com/open?id=14yZiisF1cM0zQCx92HycshmQu5iB-c3B","Документы")</f>
        <v>Документы</v>
      </c>
      <c r="T95" s="54"/>
      <c r="U95" s="54"/>
    </row>
    <row r="96" spans="1:21" ht="94.5">
      <c r="A96" s="46">
        <v>88</v>
      </c>
      <c r="B96" s="46" t="s">
        <v>20</v>
      </c>
      <c r="C96" s="46" t="s">
        <v>22</v>
      </c>
      <c r="D96" s="46" t="s">
        <v>21</v>
      </c>
      <c r="E96" s="47" t="s">
        <v>460</v>
      </c>
      <c r="F96" s="48" t="s">
        <v>454</v>
      </c>
      <c r="G96" s="48" t="s">
        <v>461</v>
      </c>
      <c r="H96" s="49" t="s">
        <v>462</v>
      </c>
      <c r="I96" s="48">
        <v>42671</v>
      </c>
      <c r="J96" s="50">
        <v>6878691.8099999996</v>
      </c>
      <c r="K96" s="50">
        <v>6534757.21</v>
      </c>
      <c r="L96" s="51">
        <v>0.05</v>
      </c>
      <c r="M96" s="48">
        <v>42773</v>
      </c>
      <c r="N96" s="48" t="s">
        <v>53</v>
      </c>
      <c r="O96" s="46" t="s">
        <v>54</v>
      </c>
      <c r="P96" s="52">
        <v>3329058867</v>
      </c>
      <c r="Q96" s="53"/>
      <c r="R96" s="22" t="str">
        <f>HYPERLINK("https://drive.google.com/open?id=0B3K8v8jgE390UGtoWTZIWkhwNVE","Договор")</f>
        <v>Договор</v>
      </c>
      <c r="S96" s="22" t="str">
        <f>HYPERLINK("https://drive.google.com/open?id=1814YbDOnkRJk-rdkLYlFrd7kd0MSCDKi","Документы")</f>
        <v>Документы</v>
      </c>
      <c r="T96" s="54"/>
      <c r="U96" s="54"/>
    </row>
    <row r="97" spans="1:21" ht="78.75" customHeight="1">
      <c r="A97" s="46">
        <v>89</v>
      </c>
      <c r="B97" s="46" t="s">
        <v>20</v>
      </c>
      <c r="C97" s="46" t="s">
        <v>22</v>
      </c>
      <c r="D97" s="46" t="s">
        <v>21</v>
      </c>
      <c r="E97" s="47" t="s">
        <v>463</v>
      </c>
      <c r="F97" s="48" t="s">
        <v>464</v>
      </c>
      <c r="G97" s="48" t="s">
        <v>465</v>
      </c>
      <c r="H97" s="49" t="s">
        <v>466</v>
      </c>
      <c r="I97" s="48">
        <v>42884</v>
      </c>
      <c r="J97" s="50">
        <v>3667179.57</v>
      </c>
      <c r="K97" s="50">
        <v>3483820.59</v>
      </c>
      <c r="L97" s="51">
        <v>0.05</v>
      </c>
      <c r="M97" s="48">
        <v>43100</v>
      </c>
      <c r="N97" s="48" t="s">
        <v>467</v>
      </c>
      <c r="O97" s="46" t="s">
        <v>468</v>
      </c>
      <c r="P97" s="52">
        <v>3329054260</v>
      </c>
      <c r="Q97" s="53"/>
      <c r="R97" s="22" t="str">
        <f>HYPERLINK("https://drive.google.com/open?id=0B3K8v8jgE390LWZDQXVOcHVXZHc","Договор")</f>
        <v>Договор</v>
      </c>
      <c r="S97" s="22" t="str">
        <f>HYPERLINK("https://drive.google.com/open?id=1g4jzmipWKlHTUtcp_41Y_zNtRZza868s","Документы")</f>
        <v>Документы</v>
      </c>
      <c r="T97" s="54"/>
      <c r="U97" s="54"/>
    </row>
    <row r="98" spans="1:21" ht="64.5" customHeight="1">
      <c r="A98" s="46">
        <v>90</v>
      </c>
      <c r="B98" s="46" t="s">
        <v>20</v>
      </c>
      <c r="C98" s="46" t="s">
        <v>22</v>
      </c>
      <c r="D98" s="46" t="s">
        <v>21</v>
      </c>
      <c r="E98" s="47" t="s">
        <v>469</v>
      </c>
      <c r="F98" s="48" t="s">
        <v>470</v>
      </c>
      <c r="G98" s="48" t="s">
        <v>471</v>
      </c>
      <c r="H98" s="49" t="s">
        <v>472</v>
      </c>
      <c r="I98" s="48">
        <v>42793</v>
      </c>
      <c r="J98" s="50">
        <v>5459252.6399999997</v>
      </c>
      <c r="K98" s="50">
        <v>5431956.3799999999</v>
      </c>
      <c r="L98" s="51" t="s">
        <v>130</v>
      </c>
      <c r="M98" s="48">
        <v>43100</v>
      </c>
      <c r="N98" s="48" t="s">
        <v>120</v>
      </c>
      <c r="O98" s="46" t="s">
        <v>121</v>
      </c>
      <c r="P98" s="52">
        <v>3305713379</v>
      </c>
      <c r="Q98" s="53"/>
      <c r="R98" s="22" t="str">
        <f>HYPERLINK("https://drive.google.com/open?id=0B3K8v8jgE390MGFMN2d1MXB5aWs","Договор")</f>
        <v>Договор</v>
      </c>
      <c r="S98" s="22" t="str">
        <f>HYPERLINK("https://drive.google.com/open?id=1iP8aNeg2TeeQdOGXdhAg6ATUdMhZAFIA","Документы")</f>
        <v>Документы</v>
      </c>
      <c r="T98" s="54"/>
      <c r="U98" s="54"/>
    </row>
    <row r="99" spans="1:21" ht="110.25">
      <c r="A99" s="46">
        <v>91</v>
      </c>
      <c r="B99" s="46" t="s">
        <v>20</v>
      </c>
      <c r="C99" s="46" t="s">
        <v>22</v>
      </c>
      <c r="D99" s="46" t="s">
        <v>21</v>
      </c>
      <c r="E99" s="47" t="s">
        <v>473</v>
      </c>
      <c r="F99" s="48" t="s">
        <v>474</v>
      </c>
      <c r="G99" s="48" t="s">
        <v>475</v>
      </c>
      <c r="H99" s="49" t="s">
        <v>476</v>
      </c>
      <c r="I99" s="48">
        <v>42885</v>
      </c>
      <c r="J99" s="50">
        <v>5845745.75</v>
      </c>
      <c r="K99" s="50">
        <v>5845745.75</v>
      </c>
      <c r="L99" s="51">
        <v>0</v>
      </c>
      <c r="M99" s="48">
        <v>43100</v>
      </c>
      <c r="N99" s="46" t="s">
        <v>442</v>
      </c>
      <c r="O99" s="46" t="s">
        <v>443</v>
      </c>
      <c r="P99" s="56">
        <v>3525161388</v>
      </c>
      <c r="Q99" s="53"/>
      <c r="R99" s="22" t="str">
        <f>HYPERLINK("https://drive.google.com/open?id=0B3K8v8jgE390TnIyaFdjbGFDSWM","Договор")</f>
        <v>Договор</v>
      </c>
      <c r="S99" s="22" t="str">
        <f>HYPERLINK("https://drive.google.com/open?id=1mZ44xzLKZZuE2POEwyx9D6BrbTAXVgme","Документы")</f>
        <v>Документы</v>
      </c>
      <c r="T99" s="54"/>
      <c r="U99" s="54"/>
    </row>
    <row r="100" spans="1:21" ht="110.25">
      <c r="A100" s="46">
        <v>92</v>
      </c>
      <c r="B100" s="46" t="s">
        <v>20</v>
      </c>
      <c r="C100" s="46" t="s">
        <v>22</v>
      </c>
      <c r="D100" s="46" t="s">
        <v>21</v>
      </c>
      <c r="E100" s="47" t="s">
        <v>477</v>
      </c>
      <c r="F100" s="48" t="s">
        <v>478</v>
      </c>
      <c r="G100" s="48" t="s">
        <v>479</v>
      </c>
      <c r="H100" s="49" t="s">
        <v>480</v>
      </c>
      <c r="I100" s="48">
        <v>42885</v>
      </c>
      <c r="J100" s="50">
        <v>6106597.2400000002</v>
      </c>
      <c r="K100" s="50">
        <v>6106597.2400000002</v>
      </c>
      <c r="L100" s="51">
        <v>0</v>
      </c>
      <c r="M100" s="48">
        <v>43100</v>
      </c>
      <c r="N100" s="46" t="s">
        <v>442</v>
      </c>
      <c r="O100" s="46" t="s">
        <v>443</v>
      </c>
      <c r="P100" s="56">
        <v>3525161388</v>
      </c>
      <c r="Q100" s="53"/>
      <c r="R100" s="22" t="str">
        <f>HYPERLINK("https://drive.google.com/open?id=0B3K8v8jgE390NTlUOGYzQWc0dGM","Договор")</f>
        <v>Договор</v>
      </c>
      <c r="S100" s="22" t="str">
        <f>HYPERLINK("https://drive.google.com/open?id=1E1MemtJ8Fth3vKD7-4sqqf-w3YWZcKWD","Документы")</f>
        <v>Документы</v>
      </c>
      <c r="T100" s="54"/>
      <c r="U100" s="54"/>
    </row>
    <row r="101" spans="1:21" ht="78.75">
      <c r="A101" s="46">
        <v>93</v>
      </c>
      <c r="B101" s="46" t="s">
        <v>20</v>
      </c>
      <c r="C101" s="46" t="s">
        <v>22</v>
      </c>
      <c r="D101" s="46" t="s">
        <v>21</v>
      </c>
      <c r="E101" s="47" t="s">
        <v>481</v>
      </c>
      <c r="F101" s="48" t="s">
        <v>482</v>
      </c>
      <c r="G101" s="48" t="s">
        <v>483</v>
      </c>
      <c r="H101" s="49" t="s">
        <v>484</v>
      </c>
      <c r="I101" s="48">
        <v>42793</v>
      </c>
      <c r="J101" s="50">
        <v>2186411.2599999998</v>
      </c>
      <c r="K101" s="50">
        <v>1978680</v>
      </c>
      <c r="L101" s="51">
        <v>9.5000000000000001E-2</v>
      </c>
      <c r="M101" s="48">
        <v>43100</v>
      </c>
      <c r="N101" s="46" t="s">
        <v>31</v>
      </c>
      <c r="O101" s="46" t="s">
        <v>32</v>
      </c>
      <c r="P101" s="55">
        <v>3304016992</v>
      </c>
      <c r="Q101" s="53"/>
      <c r="R101" s="22" t="str">
        <f>HYPERLINK("https://drive.google.com/open?id=0B3K8v8jgE390MFhXeXluR0tHbTg","Договор")</f>
        <v>Договор</v>
      </c>
      <c r="S101" s="22" t="str">
        <f>HYPERLINK("https://drive.google.com/open?id=1i7jIYgQRbBnn0SmHiyEnsTZvY7_L6m5n","Документы")</f>
        <v>Документы</v>
      </c>
      <c r="T101" s="54"/>
      <c r="U101" s="54"/>
    </row>
    <row r="102" spans="1:21" ht="110.25">
      <c r="A102" s="46">
        <v>94</v>
      </c>
      <c r="B102" s="46" t="s">
        <v>20</v>
      </c>
      <c r="C102" s="46" t="s">
        <v>22</v>
      </c>
      <c r="D102" s="46" t="s">
        <v>21</v>
      </c>
      <c r="E102" s="47" t="s">
        <v>485</v>
      </c>
      <c r="F102" s="48" t="s">
        <v>486</v>
      </c>
      <c r="G102" s="48" t="s">
        <v>487</v>
      </c>
      <c r="H102" s="49" t="s">
        <v>488</v>
      </c>
      <c r="I102" s="48">
        <v>42783</v>
      </c>
      <c r="J102" s="50">
        <v>2066529.2</v>
      </c>
      <c r="K102" s="50">
        <v>2066529.2</v>
      </c>
      <c r="L102" s="51">
        <v>0</v>
      </c>
      <c r="M102" s="48">
        <v>43100</v>
      </c>
      <c r="N102" s="46" t="s">
        <v>18</v>
      </c>
      <c r="O102" s="46" t="s">
        <v>19</v>
      </c>
      <c r="P102" s="56">
        <v>332600108871</v>
      </c>
      <c r="Q102" s="53" t="s">
        <v>489</v>
      </c>
      <c r="R102" s="22" t="str">
        <f>HYPERLINK("https://drive.google.com/open?id=0B3K8v8jgE390TFpDR0FiQUNEcVk","Договор")</f>
        <v>Договор</v>
      </c>
      <c r="S102" s="22" t="str">
        <f>HYPERLINK("https://drive.google.com/open?id=1BsRWrpGKOtEqbnIQo4rYRTFrbrcc6gQA","Документы")</f>
        <v>Документы</v>
      </c>
      <c r="T102" s="54"/>
      <c r="U102" s="54"/>
    </row>
    <row r="103" spans="1:21" ht="102" customHeight="1">
      <c r="A103" s="46">
        <v>95</v>
      </c>
      <c r="B103" s="46" t="s">
        <v>20</v>
      </c>
      <c r="C103" s="46" t="s">
        <v>22</v>
      </c>
      <c r="D103" s="46" t="s">
        <v>21</v>
      </c>
      <c r="E103" s="47" t="s">
        <v>490</v>
      </c>
      <c r="F103" s="48" t="s">
        <v>491</v>
      </c>
      <c r="G103" s="48" t="s">
        <v>492</v>
      </c>
      <c r="H103" s="49" t="s">
        <v>493</v>
      </c>
      <c r="I103" s="48">
        <v>42779</v>
      </c>
      <c r="J103" s="50">
        <v>1033655.24</v>
      </c>
      <c r="K103" s="50">
        <v>1033655.24</v>
      </c>
      <c r="L103" s="51">
        <v>0</v>
      </c>
      <c r="M103" s="48" t="s">
        <v>100</v>
      </c>
      <c r="N103" s="46" t="s">
        <v>494</v>
      </c>
      <c r="O103" s="46" t="s">
        <v>495</v>
      </c>
      <c r="P103" s="56">
        <v>3328401520</v>
      </c>
      <c r="Q103" s="57"/>
      <c r="R103" s="58" t="str">
        <f>HYPERLINK("https://drive.google.com/open?id=0B3K8v8jgE390VkhvVW9wd2pjdFE","Договор")</f>
        <v>Договор</v>
      </c>
      <c r="S103" s="22" t="str">
        <f>HYPERLINK("https://drive.google.com/open?id=10geaLO_U0pPUYMzUDAYLXppQz3j1skLP","Документы")</f>
        <v>Документы</v>
      </c>
      <c r="T103" s="54"/>
      <c r="U103" s="54"/>
    </row>
    <row r="104" spans="1:21" ht="107.25" customHeight="1">
      <c r="A104" s="46">
        <v>96</v>
      </c>
      <c r="B104" s="46" t="s">
        <v>20</v>
      </c>
      <c r="C104" s="46" t="s">
        <v>22</v>
      </c>
      <c r="D104" s="46" t="s">
        <v>21</v>
      </c>
      <c r="E104" s="47" t="s">
        <v>496</v>
      </c>
      <c r="F104" s="48" t="s">
        <v>497</v>
      </c>
      <c r="G104" s="48" t="s">
        <v>498</v>
      </c>
      <c r="H104" s="49" t="s">
        <v>499</v>
      </c>
      <c r="I104" s="48">
        <v>42885</v>
      </c>
      <c r="J104" s="50">
        <v>4819651.51</v>
      </c>
      <c r="K104" s="50">
        <v>4795553.25</v>
      </c>
      <c r="L104" s="51">
        <v>5.0000000000000001E-3</v>
      </c>
      <c r="M104" s="48">
        <v>43100</v>
      </c>
      <c r="N104" s="46" t="s">
        <v>442</v>
      </c>
      <c r="O104" s="46" t="s">
        <v>443</v>
      </c>
      <c r="P104" s="56">
        <v>3525161388</v>
      </c>
      <c r="Q104" s="57"/>
      <c r="R104" s="58" t="str">
        <f>HYPERLINK("https://drive.google.com/open?id=0B3K8v8jgE390MmVWVjlaV1Z3QnM","Договор")</f>
        <v>Договор</v>
      </c>
      <c r="S104" s="54"/>
      <c r="T104" s="54"/>
      <c r="U104" s="54"/>
    </row>
    <row r="105" spans="1:21" ht="99.75" customHeight="1">
      <c r="A105" s="46">
        <v>97</v>
      </c>
      <c r="B105" s="46" t="s">
        <v>20</v>
      </c>
      <c r="C105" s="46" t="s">
        <v>22</v>
      </c>
      <c r="D105" s="46" t="s">
        <v>21</v>
      </c>
      <c r="E105" s="47" t="s">
        <v>500</v>
      </c>
      <c r="F105" s="48" t="s">
        <v>501</v>
      </c>
      <c r="G105" s="48" t="s">
        <v>502</v>
      </c>
      <c r="H105" s="49" t="s">
        <v>503</v>
      </c>
      <c r="I105" s="48">
        <v>42671</v>
      </c>
      <c r="J105" s="50">
        <v>3731234.25</v>
      </c>
      <c r="K105" s="50">
        <v>3731234.25</v>
      </c>
      <c r="L105" s="51">
        <v>0</v>
      </c>
      <c r="M105" s="48">
        <v>43100</v>
      </c>
      <c r="N105" s="48" t="s">
        <v>53</v>
      </c>
      <c r="O105" s="46" t="s">
        <v>54</v>
      </c>
      <c r="P105" s="52">
        <v>3329058867</v>
      </c>
      <c r="Q105" s="57"/>
      <c r="R105" s="58" t="str">
        <f>HYPERLINK("https://drive.google.com/open?id=0B3K8v8jgE390WGZJbFFKMTJTVUU","Договор")</f>
        <v>Договор</v>
      </c>
      <c r="S105" s="22" t="str">
        <f>HYPERLINK("https://drive.google.com/open?id=112GMSGEq9kLiwdc3w6oWVT3k4GUqwAfX","Документы")</f>
        <v>Документы</v>
      </c>
      <c r="T105" s="54"/>
      <c r="U105" s="54"/>
    </row>
    <row r="106" spans="1:21" ht="78.75">
      <c r="A106" s="46">
        <v>98</v>
      </c>
      <c r="B106" s="46" t="s">
        <v>20</v>
      </c>
      <c r="C106" s="46" t="s">
        <v>22</v>
      </c>
      <c r="D106" s="46" t="s">
        <v>21</v>
      </c>
      <c r="E106" s="47" t="s">
        <v>509</v>
      </c>
      <c r="F106" s="48" t="s">
        <v>510</v>
      </c>
      <c r="G106" s="48" t="s">
        <v>511</v>
      </c>
      <c r="H106" s="49" t="s">
        <v>512</v>
      </c>
      <c r="I106" s="48">
        <v>42790</v>
      </c>
      <c r="J106" s="50">
        <v>7265084.9100000001</v>
      </c>
      <c r="K106" s="50">
        <v>7265084.9100000001</v>
      </c>
      <c r="L106" s="51">
        <v>0</v>
      </c>
      <c r="M106" s="48">
        <v>43251</v>
      </c>
      <c r="N106" s="48" t="s">
        <v>513</v>
      </c>
      <c r="O106" s="46" t="s">
        <v>514</v>
      </c>
      <c r="P106" s="52">
        <v>3308004490</v>
      </c>
      <c r="Q106" s="53" t="s">
        <v>515</v>
      </c>
      <c r="R106" s="58" t="str">
        <f>HYPERLINK("https://drive.google.com/open?id=0B3K8v8jgE390S2owOW0zM2lpaU0","Договор")</f>
        <v>Договор</v>
      </c>
      <c r="S106" s="22" t="str">
        <f>HYPERLINK("https://drive.google.com/open?id=10lFnUWKPJddHwdUO7m7tTinWbth7c1Pj","Документы")</f>
        <v>Документы</v>
      </c>
      <c r="T106" s="54"/>
      <c r="U106" s="54"/>
    </row>
    <row r="107" spans="1:21" ht="110.25">
      <c r="A107" s="46">
        <v>99</v>
      </c>
      <c r="B107" s="46" t="s">
        <v>20</v>
      </c>
      <c r="C107" s="46" t="s">
        <v>504</v>
      </c>
      <c r="D107" s="46" t="s">
        <v>505</v>
      </c>
      <c r="E107" s="47"/>
      <c r="F107" s="48" t="s">
        <v>506</v>
      </c>
      <c r="G107" s="48" t="s">
        <v>507</v>
      </c>
      <c r="H107" s="49" t="s">
        <v>508</v>
      </c>
      <c r="I107" s="48"/>
      <c r="J107" s="50"/>
      <c r="K107" s="50">
        <v>1090699</v>
      </c>
      <c r="L107" s="51">
        <v>0</v>
      </c>
      <c r="M107" s="48">
        <v>43014</v>
      </c>
      <c r="N107" s="48" t="s">
        <v>257</v>
      </c>
      <c r="O107" s="46" t="s">
        <v>258</v>
      </c>
      <c r="P107" s="52">
        <v>330700346964</v>
      </c>
      <c r="Q107" s="53"/>
      <c r="R107" s="58" t="str">
        <f>HYPERLINK("https://drive.google.com/open?id=0B3K8v8jgE390RHd5amZjVkd3b2c","Договор")</f>
        <v>Договор</v>
      </c>
      <c r="S107" s="22" t="str">
        <f>HYPERLINK("https://drive.google.com/open?id=159b4uPLRT194_RYrhdcbqmnzz5o3WOVA","Документы")</f>
        <v>Документы</v>
      </c>
      <c r="T107" s="59"/>
      <c r="U107" s="59"/>
    </row>
    <row r="108" spans="1:21" ht="114.75" customHeight="1">
      <c r="A108" s="46">
        <v>100</v>
      </c>
      <c r="B108" s="46" t="s">
        <v>20</v>
      </c>
      <c r="C108" s="46" t="s">
        <v>22</v>
      </c>
      <c r="D108" s="46" t="s">
        <v>21</v>
      </c>
      <c r="E108" s="46" t="s">
        <v>516</v>
      </c>
      <c r="F108" s="48" t="s">
        <v>517</v>
      </c>
      <c r="G108" s="48" t="s">
        <v>518</v>
      </c>
      <c r="H108" s="49" t="s">
        <v>519</v>
      </c>
      <c r="I108" s="48">
        <v>42793</v>
      </c>
      <c r="J108" s="50">
        <v>831287.23</v>
      </c>
      <c r="K108" s="50">
        <v>831287.23</v>
      </c>
      <c r="L108" s="51">
        <v>0</v>
      </c>
      <c r="M108" s="48">
        <v>43013</v>
      </c>
      <c r="N108" s="48" t="s">
        <v>223</v>
      </c>
      <c r="O108" s="46" t="s">
        <v>224</v>
      </c>
      <c r="P108" s="52">
        <v>3327839216</v>
      </c>
      <c r="Q108" s="53"/>
      <c r="R108" s="58" t="str">
        <f>HYPERLINK("https://drive.google.com/open?id=0B3K8v8jgE390X2VMWTJyWkJuYUE","Договор")</f>
        <v>Договор</v>
      </c>
      <c r="S108" s="22" t="str">
        <f>HYPERLINK("https://drive.google.com/open?id=1Owv9VPUoWGmLTIGWGJWBe60utPPCAPqo","Документы")</f>
        <v>Документы</v>
      </c>
      <c r="T108" s="59"/>
      <c r="U108" s="59"/>
    </row>
    <row r="109" spans="1:21" ht="92.25" customHeight="1">
      <c r="A109" s="46">
        <v>101</v>
      </c>
      <c r="B109" s="46" t="s">
        <v>20</v>
      </c>
      <c r="C109" s="46" t="s">
        <v>22</v>
      </c>
      <c r="D109" s="46" t="s">
        <v>21</v>
      </c>
      <c r="E109" s="47" t="s">
        <v>520</v>
      </c>
      <c r="F109" s="48" t="s">
        <v>521</v>
      </c>
      <c r="G109" s="48" t="s">
        <v>522</v>
      </c>
      <c r="H109" s="49" t="s">
        <v>523</v>
      </c>
      <c r="I109" s="48">
        <v>42790</v>
      </c>
      <c r="J109" s="50">
        <v>2602360.87</v>
      </c>
      <c r="K109" s="50">
        <v>2472242.83</v>
      </c>
      <c r="L109" s="51">
        <v>0.05</v>
      </c>
      <c r="M109" s="48">
        <v>43100</v>
      </c>
      <c r="N109" s="48" t="s">
        <v>513</v>
      </c>
      <c r="O109" s="46" t="s">
        <v>514</v>
      </c>
      <c r="P109" s="52">
        <v>3308004490</v>
      </c>
      <c r="Q109" s="53" t="s">
        <v>524</v>
      </c>
      <c r="R109" s="58" t="str">
        <f>HYPERLINK("https://drive.google.com/open?id=0B3K8v8jgE390RWFfcFh0V3VRcjQ","Договор")</f>
        <v>Договор</v>
      </c>
      <c r="S109" s="22" t="str">
        <f>HYPERLINK("https://drive.google.com/open?id=1rEu7rLO2qKNLbb4IwgCDH_gCe8TTv-A9","Документы")</f>
        <v>Документы</v>
      </c>
      <c r="T109" s="59"/>
      <c r="U109" s="59"/>
    </row>
    <row r="110" spans="1:21" ht="115.5" customHeight="1">
      <c r="A110" s="46">
        <v>102</v>
      </c>
      <c r="B110" s="46" t="s">
        <v>20</v>
      </c>
      <c r="C110" s="46" t="s">
        <v>22</v>
      </c>
      <c r="D110" s="60" t="s">
        <v>21</v>
      </c>
      <c r="E110" s="60" t="s">
        <v>525</v>
      </c>
      <c r="F110" s="61" t="s">
        <v>526</v>
      </c>
      <c r="G110" s="61" t="s">
        <v>527</v>
      </c>
      <c r="H110" s="62" t="s">
        <v>528</v>
      </c>
      <c r="I110" s="61">
        <v>42793</v>
      </c>
      <c r="J110" s="63">
        <v>5039494.01</v>
      </c>
      <c r="K110" s="63">
        <v>5039494.01</v>
      </c>
      <c r="L110" s="64">
        <v>0</v>
      </c>
      <c r="M110" s="61">
        <v>43100</v>
      </c>
      <c r="N110" s="61" t="s">
        <v>61</v>
      </c>
      <c r="O110" s="60" t="s">
        <v>62</v>
      </c>
      <c r="P110" s="65">
        <v>7715645930</v>
      </c>
      <c r="Q110" s="53" t="s">
        <v>529</v>
      </c>
      <c r="R110" s="58" t="str">
        <f>HYPERLINK("https://drive.google.com/open?id=0B3K8v8jgE390emZ3Z0pGVUhGQTA","Договор")</f>
        <v>Договор</v>
      </c>
      <c r="S110" s="22" t="str">
        <f>HYPERLINK("https://drive.google.com/open?id=1u_TtNHzLmArmq4ps7kyfwNzP1nroon3x","Документы")</f>
        <v>Документы</v>
      </c>
      <c r="T110" s="59"/>
      <c r="U110" s="59"/>
    </row>
    <row r="111" spans="1:21" ht="94.5">
      <c r="A111" s="46">
        <v>103</v>
      </c>
      <c r="B111" s="46" t="s">
        <v>20</v>
      </c>
      <c r="C111" s="46" t="s">
        <v>22</v>
      </c>
      <c r="D111" s="60" t="s">
        <v>21</v>
      </c>
      <c r="E111" s="60" t="s">
        <v>530</v>
      </c>
      <c r="F111" s="61" t="s">
        <v>531</v>
      </c>
      <c r="G111" s="61" t="s">
        <v>532</v>
      </c>
      <c r="H111" s="62" t="s">
        <v>533</v>
      </c>
      <c r="I111" s="61">
        <v>42671</v>
      </c>
      <c r="J111" s="63">
        <v>5681092.0300000003</v>
      </c>
      <c r="K111" s="63">
        <v>5652686.5700000003</v>
      </c>
      <c r="L111" s="64">
        <v>5.0000000000000001E-3</v>
      </c>
      <c r="M111" s="61">
        <v>43100</v>
      </c>
      <c r="N111" s="61" t="s">
        <v>534</v>
      </c>
      <c r="O111" s="60" t="s">
        <v>535</v>
      </c>
      <c r="P111" s="65">
        <v>332701116371</v>
      </c>
      <c r="Q111" s="53" t="s">
        <v>536</v>
      </c>
      <c r="R111" s="58" t="str">
        <f>HYPERLINK("https://drive.google.com/open?id=0B3K8v8jgE390RmZEZGpzYk8yeXc","Договор")</f>
        <v>Договор</v>
      </c>
      <c r="S111" s="22" t="str">
        <f>HYPERLINK("https://drive.google.com/open?id=1n0d_rJm6Jh5ZXMMkZyDrAlebSPRPKAsZ","Документы")</f>
        <v>Документы</v>
      </c>
      <c r="T111" s="59"/>
      <c r="U111" s="59"/>
    </row>
    <row r="112" spans="1:21" ht="94.5">
      <c r="A112" s="46">
        <v>104</v>
      </c>
      <c r="B112" s="46" t="s">
        <v>20</v>
      </c>
      <c r="C112" s="46" t="s">
        <v>22</v>
      </c>
      <c r="D112" s="60" t="s">
        <v>21</v>
      </c>
      <c r="E112" s="60" t="s">
        <v>537</v>
      </c>
      <c r="F112" s="61" t="s">
        <v>538</v>
      </c>
      <c r="G112" s="61" t="s">
        <v>539</v>
      </c>
      <c r="H112" s="62" t="s">
        <v>540</v>
      </c>
      <c r="I112" s="61">
        <v>42671</v>
      </c>
      <c r="J112" s="63">
        <v>5595490.7999999998</v>
      </c>
      <c r="K112" s="63">
        <v>5567513.3499999996</v>
      </c>
      <c r="L112" s="64">
        <v>5.0000000000000001E-3</v>
      </c>
      <c r="M112" s="61">
        <v>43100</v>
      </c>
      <c r="N112" s="61" t="s">
        <v>534</v>
      </c>
      <c r="O112" s="60" t="s">
        <v>535</v>
      </c>
      <c r="P112" s="65">
        <v>332701116371</v>
      </c>
      <c r="Q112" s="53" t="s">
        <v>541</v>
      </c>
      <c r="R112" s="58" t="str">
        <f>HYPERLINK("https://drive.google.com/open?id=0B3K8v8jgE390ZnhheWFmZGxJNVU","Договор")</f>
        <v>Договор</v>
      </c>
      <c r="S112" s="22" t="str">
        <f>HYPERLINK("https://drive.google.com/open?id=1O9AAKhhk73mLLeaQQw6WPpSYvnZbQgd9","Документы")</f>
        <v>Документы</v>
      </c>
      <c r="T112" s="59"/>
      <c r="U112" s="59"/>
    </row>
    <row r="113" spans="1:21" ht="94.5">
      <c r="A113" s="46">
        <v>105</v>
      </c>
      <c r="B113" s="46" t="s">
        <v>20</v>
      </c>
      <c r="C113" s="46" t="s">
        <v>22</v>
      </c>
      <c r="D113" s="60" t="s">
        <v>21</v>
      </c>
      <c r="E113" s="60" t="s">
        <v>542</v>
      </c>
      <c r="F113" s="61" t="s">
        <v>543</v>
      </c>
      <c r="G113" s="61" t="s">
        <v>544</v>
      </c>
      <c r="H113" s="62" t="s">
        <v>545</v>
      </c>
      <c r="I113" s="61">
        <v>42885</v>
      </c>
      <c r="J113" s="63">
        <v>6472438.3600000003</v>
      </c>
      <c r="K113" s="63">
        <v>6472438.3600000003</v>
      </c>
      <c r="L113" s="64">
        <v>0</v>
      </c>
      <c r="M113" s="61">
        <v>43100</v>
      </c>
      <c r="N113" s="61" t="s">
        <v>546</v>
      </c>
      <c r="O113" s="60" t="s">
        <v>273</v>
      </c>
      <c r="P113" s="65">
        <v>3304015533</v>
      </c>
      <c r="Q113" s="53" t="s">
        <v>547</v>
      </c>
      <c r="R113" s="58" t="str">
        <f>HYPERLINK("https://drive.google.com/open?id=0B3K8v8jgE390S0hsWDNnVzI0ak0","Договор")</f>
        <v>Договор</v>
      </c>
      <c r="S113" s="22" t="str">
        <f>HYPERLINK("https://drive.google.com/open?id=1WTJShzmiV8w8mIIJ7NUYelyU65JHup8c","Документы")</f>
        <v>Документы</v>
      </c>
      <c r="T113" s="54"/>
      <c r="U113" s="54"/>
    </row>
    <row r="114" spans="1:21" ht="94.5">
      <c r="A114" s="46">
        <v>106</v>
      </c>
      <c r="B114" s="46" t="s">
        <v>20</v>
      </c>
      <c r="C114" s="46" t="s">
        <v>22</v>
      </c>
      <c r="D114" s="60" t="s">
        <v>21</v>
      </c>
      <c r="E114" s="60" t="s">
        <v>548</v>
      </c>
      <c r="F114" s="61" t="s">
        <v>549</v>
      </c>
      <c r="G114" s="61" t="s">
        <v>550</v>
      </c>
      <c r="H114" s="62" t="s">
        <v>551</v>
      </c>
      <c r="I114" s="61">
        <v>42885</v>
      </c>
      <c r="J114" s="63">
        <v>6245316.71</v>
      </c>
      <c r="K114" s="63">
        <v>6245316.71</v>
      </c>
      <c r="L114" s="64">
        <v>0</v>
      </c>
      <c r="M114" s="61">
        <v>43100</v>
      </c>
      <c r="N114" s="61" t="s">
        <v>546</v>
      </c>
      <c r="O114" s="60" t="s">
        <v>273</v>
      </c>
      <c r="P114" s="65">
        <v>3304015533</v>
      </c>
      <c r="Q114" s="53" t="s">
        <v>552</v>
      </c>
      <c r="R114" s="58" t="str">
        <f>HYPERLINK("https://drive.google.com/open?id=0B3K8v8jgE390eUpHWklsaTZyMVU","Договор")</f>
        <v>Договор</v>
      </c>
      <c r="S114" s="22" t="str">
        <f>HYPERLINK("https://drive.google.com/open?id=1W4X9X76H7icf8WO8OEgEp6W7h7lTIuD5","Документы")</f>
        <v>Документы</v>
      </c>
      <c r="T114" s="54"/>
      <c r="U114" s="54"/>
    </row>
    <row r="115" spans="1:21" ht="94.5">
      <c r="A115" s="46">
        <v>107</v>
      </c>
      <c r="B115" s="46" t="s">
        <v>20</v>
      </c>
      <c r="C115" s="46" t="s">
        <v>22</v>
      </c>
      <c r="D115" s="46" t="s">
        <v>21</v>
      </c>
      <c r="E115" s="47" t="s">
        <v>553</v>
      </c>
      <c r="F115" s="48" t="s">
        <v>554</v>
      </c>
      <c r="G115" s="48" t="s">
        <v>555</v>
      </c>
      <c r="H115" s="49" t="s">
        <v>556</v>
      </c>
      <c r="I115" s="48">
        <v>42793</v>
      </c>
      <c r="J115" s="50">
        <v>4799088.24</v>
      </c>
      <c r="K115" s="50">
        <v>4799088.24</v>
      </c>
      <c r="L115" s="51">
        <v>0</v>
      </c>
      <c r="M115" s="48">
        <v>43100</v>
      </c>
      <c r="N115" s="48" t="s">
        <v>120</v>
      </c>
      <c r="O115" s="46" t="s">
        <v>121</v>
      </c>
      <c r="P115" s="52">
        <v>3305713379</v>
      </c>
      <c r="Q115" s="53" t="s">
        <v>557</v>
      </c>
      <c r="R115" s="58" t="str">
        <f>HYPERLINK("https://drive.google.com/open?id=0B3K8v8jgE390YVAxdElSSnRBMlE","Договор")</f>
        <v>Договор</v>
      </c>
      <c r="S115" s="22" t="str">
        <f>HYPERLINK("https://drive.google.com/open?id=1xe8rr9CXAut-xYEkKSzUxI-0xESHTfz-","Документы")</f>
        <v>Документы</v>
      </c>
      <c r="T115" s="54"/>
      <c r="U115" s="54"/>
    </row>
    <row r="116" spans="1:21" ht="153" customHeight="1">
      <c r="A116" s="46">
        <v>108</v>
      </c>
      <c r="B116" s="46" t="s">
        <v>20</v>
      </c>
      <c r="C116" s="46" t="s">
        <v>22</v>
      </c>
      <c r="D116" s="46" t="s">
        <v>21</v>
      </c>
      <c r="E116" s="47" t="s">
        <v>558</v>
      </c>
      <c r="F116" s="48" t="s">
        <v>559</v>
      </c>
      <c r="G116" s="48" t="s">
        <v>560</v>
      </c>
      <c r="H116" s="49" t="s">
        <v>561</v>
      </c>
      <c r="I116" s="48">
        <v>42779</v>
      </c>
      <c r="J116" s="50">
        <v>382771.3</v>
      </c>
      <c r="K116" s="50">
        <v>382771.3</v>
      </c>
      <c r="L116" s="51">
        <v>0</v>
      </c>
      <c r="M116" s="48" t="s">
        <v>100</v>
      </c>
      <c r="N116" s="46" t="s">
        <v>494</v>
      </c>
      <c r="O116" s="46" t="s">
        <v>495</v>
      </c>
      <c r="P116" s="56">
        <v>3328401520</v>
      </c>
      <c r="Q116" s="59"/>
      <c r="R116" s="58" t="str">
        <f>HYPERLINK("https://drive.google.com/open?id=0B3K8v8jgE390cnlCTGZpZFRXRFU","Договор")</f>
        <v>Договор</v>
      </c>
      <c r="S116" s="22" t="str">
        <f>HYPERLINK("https://drive.google.com/open?id=1EWRyK4NRXVRGV-h7nIJW8Tokt2hQUHC-","Документы")</f>
        <v>Документы</v>
      </c>
      <c r="T116" s="59"/>
      <c r="U116" s="59"/>
    </row>
    <row r="117" spans="1:21" ht="114.75" customHeight="1">
      <c r="A117" s="46">
        <v>109</v>
      </c>
      <c r="B117" s="46" t="s">
        <v>20</v>
      </c>
      <c r="C117" s="46" t="s">
        <v>504</v>
      </c>
      <c r="D117" s="46" t="s">
        <v>505</v>
      </c>
      <c r="E117" s="47"/>
      <c r="F117" s="48" t="s">
        <v>575</v>
      </c>
      <c r="G117" s="48" t="s">
        <v>576</v>
      </c>
      <c r="H117" s="49" t="s">
        <v>577</v>
      </c>
      <c r="I117" s="48"/>
      <c r="J117" s="50"/>
      <c r="K117" s="50">
        <v>2576474.37</v>
      </c>
      <c r="L117" s="51">
        <v>0</v>
      </c>
      <c r="M117" s="48">
        <v>43081</v>
      </c>
      <c r="N117" s="48" t="s">
        <v>578</v>
      </c>
      <c r="O117" s="46" t="s">
        <v>579</v>
      </c>
      <c r="P117" s="52">
        <v>3305708844</v>
      </c>
      <c r="Q117" s="53"/>
      <c r="R117" s="58" t="str">
        <f>HYPERLINK("https://drive.google.com/open?id=0B3K8v8jgE390R2I1dnlQaUVrWTQ","Договор")</f>
        <v>Договор</v>
      </c>
      <c r="S117" s="59"/>
      <c r="T117" s="59"/>
      <c r="U117" s="59"/>
    </row>
    <row r="118" spans="1:21" s="68" customFormat="1" ht="369.75" customHeight="1">
      <c r="A118" s="55">
        <v>110</v>
      </c>
      <c r="B118" s="53" t="s">
        <v>20</v>
      </c>
      <c r="C118" s="46" t="s">
        <v>22</v>
      </c>
      <c r="D118" s="60" t="s">
        <v>21</v>
      </c>
      <c r="E118" s="55">
        <v>15081700004</v>
      </c>
      <c r="F118" s="61" t="s">
        <v>563</v>
      </c>
      <c r="G118" s="53" t="s">
        <v>564</v>
      </c>
      <c r="H118" s="66" t="s">
        <v>565</v>
      </c>
      <c r="I118" s="67">
        <v>42874</v>
      </c>
      <c r="J118" s="50">
        <v>328279.8</v>
      </c>
      <c r="K118" s="50">
        <v>328279.8</v>
      </c>
      <c r="L118" s="51">
        <v>0</v>
      </c>
      <c r="M118" s="53" t="s">
        <v>566</v>
      </c>
      <c r="N118" s="53" t="s">
        <v>567</v>
      </c>
      <c r="O118" s="53" t="s">
        <v>568</v>
      </c>
      <c r="P118" s="55">
        <v>3329035500</v>
      </c>
      <c r="Q118" s="53"/>
      <c r="R118" s="58" t="str">
        <f>HYPERLINK("https://drive.google.com/open?id=0B3K8v8jgE390RWJZLTNJNEdSLTg","Договор")</f>
        <v>Договор</v>
      </c>
      <c r="S118" s="22" t="str">
        <f>HYPERLINK("https://drive.google.com/open?id=1qGpbfqInSXifTXO6ToHyD8VOQaKa-nnP","Документы")</f>
        <v>Документы</v>
      </c>
      <c r="T118" s="55"/>
      <c r="U118" s="55"/>
    </row>
    <row r="119" spans="1:21" ht="120.75" customHeight="1">
      <c r="A119" s="69">
        <v>111</v>
      </c>
      <c r="B119" s="53" t="s">
        <v>20</v>
      </c>
      <c r="C119" s="53" t="s">
        <v>22</v>
      </c>
      <c r="D119" s="70" t="s">
        <v>21</v>
      </c>
      <c r="E119" s="69">
        <v>1091700003</v>
      </c>
      <c r="F119" s="61" t="s">
        <v>569</v>
      </c>
      <c r="G119" s="71" t="s">
        <v>570</v>
      </c>
      <c r="H119" s="72" t="s">
        <v>571</v>
      </c>
      <c r="I119" s="73">
        <v>42885</v>
      </c>
      <c r="J119" s="74">
        <v>3974107.08</v>
      </c>
      <c r="K119" s="74">
        <v>3974107.08</v>
      </c>
      <c r="L119" s="51">
        <v>0</v>
      </c>
      <c r="M119" s="71" t="s">
        <v>572</v>
      </c>
      <c r="N119" s="69" t="s">
        <v>573</v>
      </c>
      <c r="O119" s="53" t="s">
        <v>574</v>
      </c>
      <c r="P119" s="69">
        <v>3328457763</v>
      </c>
      <c r="Q119" s="71"/>
      <c r="R119" s="58" t="str">
        <f>HYPERLINK("https://drive.google.com/open?id=0B3K8v8jgE390czEyV1JackNISDQ","Договор")</f>
        <v>Договор</v>
      </c>
      <c r="S119" s="22" t="str">
        <f>HYPERLINK("https://drive.google.com/open?id=1BDgy2Y1rSKh0giAEArcOdqLe04sszz5B","Документы")</f>
        <v>Документы</v>
      </c>
      <c r="T119" s="54"/>
      <c r="U119" s="54"/>
    </row>
    <row r="120" spans="1:21" s="75" customFormat="1" ht="101.25" customHeight="1">
      <c r="A120" s="55">
        <v>112</v>
      </c>
      <c r="B120" s="53" t="s">
        <v>20</v>
      </c>
      <c r="C120" s="53" t="s">
        <v>22</v>
      </c>
      <c r="D120" s="70" t="s">
        <v>21</v>
      </c>
      <c r="E120" s="55">
        <v>28081700021</v>
      </c>
      <c r="F120" s="61" t="s">
        <v>580</v>
      </c>
      <c r="G120" s="53" t="s">
        <v>581</v>
      </c>
      <c r="H120" s="72" t="s">
        <v>582</v>
      </c>
      <c r="I120" s="67">
        <v>42793</v>
      </c>
      <c r="J120" s="50">
        <v>1584538.13</v>
      </c>
      <c r="K120" s="50">
        <v>1584538.13</v>
      </c>
      <c r="L120" s="51">
        <v>0</v>
      </c>
      <c r="M120" s="53" t="s">
        <v>583</v>
      </c>
      <c r="N120" s="55" t="s">
        <v>125</v>
      </c>
      <c r="O120" s="53" t="s">
        <v>584</v>
      </c>
      <c r="P120" s="55">
        <v>332400472150</v>
      </c>
      <c r="Q120" s="53"/>
      <c r="R120" s="58" t="str">
        <f>HYPERLINK("https://drive.google.com/open?id=0B3K8v8jgE390aWo2YXVzOXNhQWs","Договор")</f>
        <v>Договор</v>
      </c>
      <c r="S120" s="22" t="str">
        <f>HYPERLINK("https://drive.google.com/open?id=1jpm7CImui0rqxqWGP4C6R0DwSH13BN6h","Документы")</f>
        <v>Документы</v>
      </c>
      <c r="T120" s="55"/>
      <c r="U120" s="55"/>
    </row>
    <row r="121" spans="1:21" ht="164.25" customHeight="1">
      <c r="A121" s="55">
        <v>113</v>
      </c>
      <c r="B121" s="53" t="s">
        <v>20</v>
      </c>
      <c r="C121" s="53" t="s">
        <v>22</v>
      </c>
      <c r="D121" s="70" t="s">
        <v>21</v>
      </c>
      <c r="E121" s="55">
        <v>28081700016</v>
      </c>
      <c r="F121" s="61" t="s">
        <v>585</v>
      </c>
      <c r="G121" s="53" t="s">
        <v>586</v>
      </c>
      <c r="H121" s="76" t="s">
        <v>587</v>
      </c>
      <c r="I121" s="67">
        <v>42845</v>
      </c>
      <c r="J121" s="50">
        <v>388349.41</v>
      </c>
      <c r="K121" s="50">
        <v>388349.41</v>
      </c>
      <c r="L121" s="51">
        <v>0</v>
      </c>
      <c r="M121" s="53" t="s">
        <v>566</v>
      </c>
      <c r="N121" s="55" t="s">
        <v>588</v>
      </c>
      <c r="O121" s="53" t="s">
        <v>589</v>
      </c>
      <c r="P121" s="55">
        <v>7610052877</v>
      </c>
      <c r="Q121" s="77"/>
      <c r="R121" s="58" t="str">
        <f>HYPERLINK("https://drive.google.com/open?id=0B3K8v8jgE390SnNGak5XU2ZVVVU","Договор")</f>
        <v>Договор</v>
      </c>
      <c r="S121" s="22" t="str">
        <f>HYPERLINK("https://drive.google.com/open?id=1IigDKIvsW6WL8IPrs39Gjq7KlyNE3nbS","Документы")</f>
        <v>Документы</v>
      </c>
      <c r="T121" s="78"/>
      <c r="U121" s="78"/>
    </row>
    <row r="122" spans="1:21" ht="126">
      <c r="A122" s="55">
        <v>114</v>
      </c>
      <c r="B122" s="53" t="s">
        <v>20</v>
      </c>
      <c r="C122" s="53" t="s">
        <v>22</v>
      </c>
      <c r="D122" s="70" t="s">
        <v>21</v>
      </c>
      <c r="E122" s="55">
        <v>31081700009</v>
      </c>
      <c r="F122" s="39" t="s">
        <v>590</v>
      </c>
      <c r="G122" s="53" t="s">
        <v>591</v>
      </c>
      <c r="H122" s="72" t="s">
        <v>592</v>
      </c>
      <c r="I122" s="79">
        <v>42671</v>
      </c>
      <c r="J122" s="50">
        <v>2198494.66</v>
      </c>
      <c r="K122" s="50">
        <v>2198494.66</v>
      </c>
      <c r="L122" s="51">
        <v>0</v>
      </c>
      <c r="M122" s="53" t="s">
        <v>593</v>
      </c>
      <c r="N122" s="55" t="s">
        <v>257</v>
      </c>
      <c r="O122" s="53" t="s">
        <v>594</v>
      </c>
      <c r="P122" s="55">
        <v>330700346964</v>
      </c>
      <c r="Q122" s="77"/>
      <c r="R122" s="58" t="str">
        <f>HYPERLINK("https://drive.google.com/open?id=0B3K8v8jgE390Szl1N2FzRjRkWFU","Договор")</f>
        <v>Договор</v>
      </c>
      <c r="S122" s="22" t="str">
        <f>HYPERLINK("https://drive.google.com/open?id=1zh_3cxtOB7ysTIoFY2h13n8PZmk7Wj5z","Документы")</f>
        <v>Документы</v>
      </c>
      <c r="T122" s="78"/>
      <c r="U122" s="78"/>
    </row>
    <row r="123" spans="1:21" ht="96.75" customHeight="1">
      <c r="A123" s="55">
        <v>115</v>
      </c>
      <c r="B123" s="53" t="s">
        <v>20</v>
      </c>
      <c r="C123" s="53" t="s">
        <v>22</v>
      </c>
      <c r="D123" s="70" t="s">
        <v>21</v>
      </c>
      <c r="E123" s="69">
        <v>1091700005</v>
      </c>
      <c r="F123" s="39" t="s">
        <v>595</v>
      </c>
      <c r="G123" s="71" t="s">
        <v>596</v>
      </c>
      <c r="H123" s="80" t="s">
        <v>597</v>
      </c>
      <c r="I123" s="73">
        <v>42885</v>
      </c>
      <c r="J123" s="74">
        <v>791559.36</v>
      </c>
      <c r="K123" s="74">
        <v>729764.94</v>
      </c>
      <c r="L123" s="81" t="s">
        <v>598</v>
      </c>
      <c r="M123" s="71" t="s">
        <v>599</v>
      </c>
      <c r="N123" s="82" t="s">
        <v>600</v>
      </c>
      <c r="O123" s="71" t="s">
        <v>601</v>
      </c>
      <c r="P123" s="69">
        <v>332903482324</v>
      </c>
      <c r="Q123" s="83"/>
      <c r="R123" s="58" t="str">
        <f>HYPERLINK("https://drive.google.com/open?id=0B3K8v8jgE390RnFxNXB4X1lXc3c","Договор")</f>
        <v>Договор</v>
      </c>
      <c r="S123" s="22" t="str">
        <f>HYPERLINK("https://drive.google.com/open?id=1HzHpccS9QiqoPyEPetClaSGHR4EjaCUt","Документы")</f>
        <v>Документы</v>
      </c>
      <c r="T123" s="84"/>
      <c r="U123" s="84"/>
    </row>
    <row r="124" spans="1:21" ht="105.75" customHeight="1">
      <c r="A124" s="55">
        <v>116</v>
      </c>
      <c r="B124" s="53" t="s">
        <v>20</v>
      </c>
      <c r="C124" s="53" t="s">
        <v>22</v>
      </c>
      <c r="D124" s="70" t="s">
        <v>21</v>
      </c>
      <c r="E124" s="55">
        <v>31081700010</v>
      </c>
      <c r="F124" s="39" t="s">
        <v>602</v>
      </c>
      <c r="G124" s="53" t="s">
        <v>603</v>
      </c>
      <c r="H124" s="80" t="s">
        <v>604</v>
      </c>
      <c r="I124" s="67">
        <v>42671</v>
      </c>
      <c r="J124" s="50">
        <v>5412575.04</v>
      </c>
      <c r="K124" s="50">
        <v>4990627.68</v>
      </c>
      <c r="L124" s="85" t="s">
        <v>605</v>
      </c>
      <c r="M124" s="53" t="s">
        <v>606</v>
      </c>
      <c r="N124" s="55" t="s">
        <v>607</v>
      </c>
      <c r="O124" s="53" t="s">
        <v>608</v>
      </c>
      <c r="P124" s="55">
        <v>3316002190</v>
      </c>
      <c r="Q124" s="53"/>
      <c r="R124" s="58" t="str">
        <f>HYPERLINK("https://drive.google.com/open?id=0B3K8v8jgE390LUUzeTNJWno5Nnc","Договор")</f>
        <v>Договор</v>
      </c>
      <c r="S124" s="22" t="str">
        <f>HYPERLINK("https://drive.google.com/open?id=1Npc-3TRXszz18zwOxqfYaoKZezP_9MW8","Документы")</f>
        <v>Документы</v>
      </c>
      <c r="T124" s="55"/>
      <c r="U124" s="55"/>
    </row>
    <row r="125" spans="1:21" ht="141.75">
      <c r="A125" s="55">
        <v>117</v>
      </c>
      <c r="B125" s="53" t="s">
        <v>20</v>
      </c>
      <c r="C125" s="53" t="s">
        <v>22</v>
      </c>
      <c r="D125" s="70" t="s">
        <v>21</v>
      </c>
      <c r="E125" s="55">
        <v>1091700007</v>
      </c>
      <c r="F125" s="39" t="s">
        <v>609</v>
      </c>
      <c r="G125" s="53" t="s">
        <v>610</v>
      </c>
      <c r="H125" s="80" t="s">
        <v>611</v>
      </c>
      <c r="I125" s="86">
        <v>42671</v>
      </c>
      <c r="J125" s="50">
        <v>3526214.53</v>
      </c>
      <c r="K125" s="50">
        <v>3250207.5</v>
      </c>
      <c r="L125" s="85" t="s">
        <v>605</v>
      </c>
      <c r="M125" s="53" t="s">
        <v>612</v>
      </c>
      <c r="N125" s="53" t="s">
        <v>613</v>
      </c>
      <c r="O125" s="53" t="s">
        <v>614</v>
      </c>
      <c r="P125" s="55">
        <v>3306008845</v>
      </c>
      <c r="Q125" s="53"/>
      <c r="R125" s="58" t="str">
        <f>HYPERLINK("https://drive.google.com/open?id=0B3K8v8jgE390Y3EwWWZ3TEVUTTQ","Договор")</f>
        <v>Договор</v>
      </c>
      <c r="S125" s="22" t="str">
        <f>HYPERLINK("https://drive.google.com/open?id=1seTScpY2BOhukzRrWxZHVuJMInHRqooT","Документы")</f>
        <v>Документы</v>
      </c>
      <c r="T125" s="55"/>
      <c r="U125" s="55"/>
    </row>
    <row r="126" spans="1:21" ht="94.5">
      <c r="A126" s="55">
        <v>118</v>
      </c>
      <c r="B126" s="53" t="s">
        <v>20</v>
      </c>
      <c r="C126" s="53" t="s">
        <v>22</v>
      </c>
      <c r="D126" s="70" t="s">
        <v>21</v>
      </c>
      <c r="E126" s="55">
        <v>1091700002</v>
      </c>
      <c r="F126" s="39" t="s">
        <v>615</v>
      </c>
      <c r="G126" s="53" t="s">
        <v>616</v>
      </c>
      <c r="H126" s="80" t="s">
        <v>617</v>
      </c>
      <c r="I126" s="86">
        <v>42783</v>
      </c>
      <c r="J126" s="50">
        <v>345700.28</v>
      </c>
      <c r="K126" s="50">
        <v>345700.28</v>
      </c>
      <c r="L126" s="85">
        <v>0</v>
      </c>
      <c r="M126" s="87">
        <v>43465</v>
      </c>
      <c r="N126" s="53" t="s">
        <v>618</v>
      </c>
      <c r="O126" s="53" t="s">
        <v>619</v>
      </c>
      <c r="P126" s="55">
        <v>7728296652</v>
      </c>
      <c r="Q126" s="53"/>
      <c r="R126" s="58" t="str">
        <f>HYPERLINK("https://drive.google.com/open?id=0B3K8v8jgE390WExuZ1NSMGNGaHM","Договор")</f>
        <v>Договор</v>
      </c>
      <c r="S126" s="22" t="str">
        <f>HYPERLINK("https://drive.google.com/open?id=141BZ9sP8QTYmRdyVJgR0oy3q0BQ3sm1G","Документы")</f>
        <v>Документы</v>
      </c>
      <c r="T126" s="55"/>
      <c r="U126" s="55"/>
    </row>
    <row r="127" spans="1:21" ht="94.5">
      <c r="A127" s="55">
        <v>119</v>
      </c>
      <c r="B127" s="53" t="s">
        <v>20</v>
      </c>
      <c r="C127" s="53" t="s">
        <v>22</v>
      </c>
      <c r="D127" s="70" t="s">
        <v>21</v>
      </c>
      <c r="E127" s="55">
        <v>1091700006</v>
      </c>
      <c r="F127" s="39" t="s">
        <v>620</v>
      </c>
      <c r="G127" s="53" t="s">
        <v>621</v>
      </c>
      <c r="H127" s="80" t="s">
        <v>622</v>
      </c>
      <c r="I127" s="86">
        <v>42885</v>
      </c>
      <c r="J127" s="50">
        <v>2646294.71</v>
      </c>
      <c r="K127" s="50">
        <v>2633063.2400000002</v>
      </c>
      <c r="L127" s="85"/>
      <c r="M127" s="87" t="s">
        <v>623</v>
      </c>
      <c r="N127" s="53" t="s">
        <v>624</v>
      </c>
      <c r="O127" s="53" t="s">
        <v>625</v>
      </c>
      <c r="P127" s="55">
        <v>3328457763</v>
      </c>
      <c r="Q127" s="53"/>
      <c r="R127" s="58" t="str">
        <f>HYPERLINK("https://drive.google.com/open?id=0B3K8v8jgE390eFZzZE1SMjVoOHc","Договор")</f>
        <v>Договор</v>
      </c>
      <c r="S127" s="22" t="str">
        <f>HYPERLINK("https://drive.google.com/open?id=13SEOSbj1am-8kzD1zlHSKR0lV0B_hBBv","Документы")</f>
        <v>Документы</v>
      </c>
      <c r="T127" s="55"/>
      <c r="U127" s="55"/>
    </row>
    <row r="128" spans="1:21" ht="110.25">
      <c r="A128" s="55">
        <v>120</v>
      </c>
      <c r="B128" s="53" t="s">
        <v>20</v>
      </c>
      <c r="C128" s="53" t="s">
        <v>22</v>
      </c>
      <c r="D128" s="70" t="s">
        <v>21</v>
      </c>
      <c r="E128" s="55">
        <v>7091700006</v>
      </c>
      <c r="F128" s="39" t="s">
        <v>626</v>
      </c>
      <c r="G128" s="53" t="s">
        <v>627</v>
      </c>
      <c r="H128" s="80" t="s">
        <v>628</v>
      </c>
      <c r="I128" s="86">
        <v>42885</v>
      </c>
      <c r="J128" s="50">
        <v>4097678.79</v>
      </c>
      <c r="K128" s="50">
        <v>3767608.67</v>
      </c>
      <c r="L128" s="85" t="s">
        <v>629</v>
      </c>
      <c r="M128" s="87" t="s">
        <v>630</v>
      </c>
      <c r="N128" s="53" t="s">
        <v>631</v>
      </c>
      <c r="O128" s="53" t="s">
        <v>632</v>
      </c>
      <c r="P128" s="55">
        <v>3327118743</v>
      </c>
      <c r="Q128" s="53"/>
      <c r="R128" s="58" t="str">
        <f>HYPERLINK("https://drive.google.com/open?id=0B3K8v8jgE390MGE0U2dtSm9QalU","Договор")</f>
        <v>Договор</v>
      </c>
      <c r="S128" s="22" t="str">
        <f>HYPERLINK("https://drive.google.com/open?id=15-RJXm0FVRzrQc3RLPkvkoedxMbzDotW","Документы")</f>
        <v>Документы</v>
      </c>
      <c r="T128" s="55"/>
      <c r="U128" s="55"/>
    </row>
    <row r="129" spans="1:21" ht="94.5">
      <c r="A129" s="55">
        <v>121</v>
      </c>
      <c r="B129" s="53" t="s">
        <v>20</v>
      </c>
      <c r="C129" s="53" t="s">
        <v>22</v>
      </c>
      <c r="D129" s="70" t="s">
        <v>21</v>
      </c>
      <c r="E129" s="55">
        <v>8091700024</v>
      </c>
      <c r="F129" s="39" t="s">
        <v>633</v>
      </c>
      <c r="G129" s="53" t="s">
        <v>634</v>
      </c>
      <c r="H129" s="80" t="s">
        <v>635</v>
      </c>
      <c r="I129" s="86">
        <v>42885</v>
      </c>
      <c r="J129" s="50">
        <v>2996321.1</v>
      </c>
      <c r="K129" s="50">
        <v>2756103.09</v>
      </c>
      <c r="L129" s="85" t="s">
        <v>629</v>
      </c>
      <c r="M129" s="87" t="s">
        <v>636</v>
      </c>
      <c r="N129" s="53" t="s">
        <v>600</v>
      </c>
      <c r="O129" s="53" t="s">
        <v>601</v>
      </c>
      <c r="P129" s="55">
        <v>33290348232</v>
      </c>
      <c r="Q129" s="53"/>
      <c r="R129" s="58" t="str">
        <f>HYPERLINK("https://drive.google.com/open?id=0B3K8v8jgE390WFZpcHhCczZUZ1k","Договор")</f>
        <v>Договор</v>
      </c>
      <c r="S129" s="22" t="str">
        <f>HYPERLINK("https://drive.google.com/open?id=1YJSnDU8xcLWUdq1a5edsedeDEJGdUi0-","Документы")</f>
        <v>Документы</v>
      </c>
      <c r="T129" s="55"/>
      <c r="U129" s="55"/>
    </row>
    <row r="130" spans="1:21" ht="94.5">
      <c r="A130" s="55">
        <v>122</v>
      </c>
      <c r="B130" s="53" t="s">
        <v>20</v>
      </c>
      <c r="C130" s="53" t="s">
        <v>22</v>
      </c>
      <c r="D130" s="70" t="s">
        <v>21</v>
      </c>
      <c r="E130" s="55">
        <v>8091700023</v>
      </c>
      <c r="F130" s="39" t="s">
        <v>637</v>
      </c>
      <c r="G130" s="53" t="s">
        <v>638</v>
      </c>
      <c r="H130" s="88" t="s">
        <v>639</v>
      </c>
      <c r="I130" s="86">
        <v>42793</v>
      </c>
      <c r="J130" s="50">
        <v>4585875.87</v>
      </c>
      <c r="K130" s="50">
        <v>4185110.82</v>
      </c>
      <c r="L130" s="85" t="s">
        <v>629</v>
      </c>
      <c r="M130" s="87" t="s">
        <v>640</v>
      </c>
      <c r="N130" s="53" t="s">
        <v>641</v>
      </c>
      <c r="O130" s="53" t="s">
        <v>642</v>
      </c>
      <c r="P130" s="55">
        <v>3304018728</v>
      </c>
      <c r="Q130" s="53"/>
      <c r="R130" s="58" t="str">
        <f>HYPERLINK("https://drive.google.com/open?id=0B3K8v8jgE390OXhLYmtzUWtQMFU","Договор")</f>
        <v>Договор</v>
      </c>
      <c r="S130" s="55"/>
      <c r="T130" s="55"/>
      <c r="U130" s="55"/>
    </row>
    <row r="131" spans="1:21" ht="148.5" customHeight="1">
      <c r="A131" s="55">
        <v>123</v>
      </c>
      <c r="B131" s="53" t="s">
        <v>20</v>
      </c>
      <c r="C131" s="53" t="s">
        <v>22</v>
      </c>
      <c r="D131" s="70" t="s">
        <v>21</v>
      </c>
      <c r="E131" s="55">
        <v>7091700005</v>
      </c>
      <c r="F131" s="39" t="s">
        <v>643</v>
      </c>
      <c r="G131" s="53" t="s">
        <v>644</v>
      </c>
      <c r="H131" s="88" t="s">
        <v>645</v>
      </c>
      <c r="I131" s="86">
        <v>42671</v>
      </c>
      <c r="J131" s="50">
        <v>4139096.68</v>
      </c>
      <c r="K131" s="50">
        <v>3826622.26</v>
      </c>
      <c r="L131" s="85" t="s">
        <v>629</v>
      </c>
      <c r="M131" s="87" t="s">
        <v>646</v>
      </c>
      <c r="N131" s="53" t="s">
        <v>647</v>
      </c>
      <c r="O131" s="53" t="s">
        <v>648</v>
      </c>
      <c r="P131" s="55">
        <v>3328442686</v>
      </c>
      <c r="Q131" s="53"/>
      <c r="R131" s="58" t="str">
        <f>HYPERLINK("https://drive.google.com/open?id=0B3K8v8jgE390aDl1dXMxbkNidEU","Договор")</f>
        <v>Договор</v>
      </c>
      <c r="S131" s="22" t="str">
        <f>HYPERLINK("https://drive.google.com/open?id=1mvh5rJOaQMFiRFfJ002Fz5ww8iaBfJ91","Документы")</f>
        <v>Документы</v>
      </c>
      <c r="T131" s="55"/>
      <c r="U131" s="55"/>
    </row>
    <row r="132" spans="1:21" ht="94.5">
      <c r="A132" s="55">
        <v>124</v>
      </c>
      <c r="B132" s="53" t="s">
        <v>20</v>
      </c>
      <c r="C132" s="53" t="s">
        <v>22</v>
      </c>
      <c r="D132" s="70" t="s">
        <v>21</v>
      </c>
      <c r="E132" s="55">
        <v>5091700003</v>
      </c>
      <c r="F132" s="39" t="s">
        <v>649</v>
      </c>
      <c r="G132" s="53" t="s">
        <v>650</v>
      </c>
      <c r="H132" s="80" t="s">
        <v>651</v>
      </c>
      <c r="I132" s="86">
        <v>42793</v>
      </c>
      <c r="J132" s="50">
        <v>683533.71</v>
      </c>
      <c r="K132" s="50">
        <v>683533.71</v>
      </c>
      <c r="L132" s="85">
        <v>0</v>
      </c>
      <c r="M132" s="87" t="s">
        <v>652</v>
      </c>
      <c r="N132" s="53" t="s">
        <v>653</v>
      </c>
      <c r="O132" s="53" t="s">
        <v>654</v>
      </c>
      <c r="P132" s="55">
        <v>3306005717</v>
      </c>
      <c r="Q132" s="53"/>
      <c r="R132" s="58" t="str">
        <f>HYPERLINK("https://drive.google.com/open?id=0B3K8v8jgE390NFFhMV9SV2JyZDg","Договор")</f>
        <v>Договор</v>
      </c>
      <c r="S132" s="22" t="str">
        <f>HYPERLINK("https://drive.google.com/open?id=1cCffiEAl6IYUM2lvhECwQLwWtXwYIDDk","Документы")</f>
        <v>Документы</v>
      </c>
      <c r="T132" s="55"/>
      <c r="U132" s="55"/>
    </row>
    <row r="133" spans="1:21" ht="94.5">
      <c r="A133" s="55">
        <v>125</v>
      </c>
      <c r="B133" s="53" t="s">
        <v>20</v>
      </c>
      <c r="C133" s="53" t="s">
        <v>22</v>
      </c>
      <c r="D133" s="70" t="s">
        <v>21</v>
      </c>
      <c r="E133" s="55">
        <v>5091700004</v>
      </c>
      <c r="F133" s="39" t="s">
        <v>655</v>
      </c>
      <c r="G133" s="53" t="s">
        <v>656</v>
      </c>
      <c r="H133" s="88" t="s">
        <v>659</v>
      </c>
      <c r="I133" s="86">
        <v>42793</v>
      </c>
      <c r="J133" s="50">
        <v>1325046.19</v>
      </c>
      <c r="K133" s="50">
        <v>1188124.96</v>
      </c>
      <c r="L133" s="85" t="s">
        <v>598</v>
      </c>
      <c r="M133" s="87" t="s">
        <v>657</v>
      </c>
      <c r="N133" s="53" t="s">
        <v>48</v>
      </c>
      <c r="O133" s="53" t="s">
        <v>658</v>
      </c>
      <c r="P133" s="89">
        <v>332708060752</v>
      </c>
      <c r="Q133" s="53"/>
      <c r="R133" s="58" t="str">
        <f>HYPERLINK("https://drive.google.com/open?id=0B3K8v8jgE390VDZoR0VoWEhITlk","Договор")</f>
        <v>Договор</v>
      </c>
      <c r="S133" s="55"/>
      <c r="T133" s="55"/>
      <c r="U133" s="55"/>
    </row>
    <row r="134" spans="1:21" ht="78.75">
      <c r="A134" s="55">
        <v>126</v>
      </c>
      <c r="B134" s="53" t="s">
        <v>20</v>
      </c>
      <c r="C134" s="53" t="s">
        <v>22</v>
      </c>
      <c r="D134" s="70" t="s">
        <v>21</v>
      </c>
      <c r="E134" s="55">
        <v>8091700022</v>
      </c>
      <c r="F134" s="39" t="s">
        <v>660</v>
      </c>
      <c r="G134" s="53" t="s">
        <v>661</v>
      </c>
      <c r="H134" s="88" t="s">
        <v>662</v>
      </c>
      <c r="I134" s="86">
        <v>42671</v>
      </c>
      <c r="J134" s="50">
        <v>1594773.43</v>
      </c>
      <c r="K134" s="50" t="s">
        <v>663</v>
      </c>
      <c r="L134" s="85">
        <v>5.0000000000000001E-3</v>
      </c>
      <c r="M134" s="87" t="s">
        <v>664</v>
      </c>
      <c r="N134" s="53" t="s">
        <v>665</v>
      </c>
      <c r="O134" s="53" t="s">
        <v>666</v>
      </c>
      <c r="P134" s="89">
        <v>332600108871</v>
      </c>
      <c r="Q134" s="53"/>
      <c r="R134" s="58" t="str">
        <f>HYPERLINK("https://drive.google.com/open?id=0B3K8v8jgE390YVhyaWVnXy1kSWM","Договор")</f>
        <v>Договор</v>
      </c>
      <c r="S134" s="55"/>
      <c r="T134" s="55"/>
      <c r="U134" s="55"/>
    </row>
    <row r="135" spans="1:21" ht="78.75">
      <c r="A135" s="55">
        <v>127</v>
      </c>
      <c r="B135" s="53" t="s">
        <v>20</v>
      </c>
      <c r="C135" s="53" t="s">
        <v>22</v>
      </c>
      <c r="D135" s="70" t="s">
        <v>21</v>
      </c>
      <c r="E135" s="55">
        <v>8091700026</v>
      </c>
      <c r="F135" s="39" t="s">
        <v>667</v>
      </c>
      <c r="G135" s="53" t="s">
        <v>668</v>
      </c>
      <c r="H135" s="88" t="s">
        <v>669</v>
      </c>
      <c r="I135" s="73">
        <v>42884</v>
      </c>
      <c r="J135" s="50">
        <v>1350404.73</v>
      </c>
      <c r="K135" s="50" t="s">
        <v>670</v>
      </c>
      <c r="L135" s="85">
        <v>5.0000000000000001E-3</v>
      </c>
      <c r="M135" s="87" t="s">
        <v>671</v>
      </c>
      <c r="N135" s="53" t="s">
        <v>672</v>
      </c>
      <c r="O135" s="53" t="s">
        <v>673</v>
      </c>
      <c r="P135" s="89">
        <v>3305709894</v>
      </c>
      <c r="Q135" s="53"/>
      <c r="R135" s="58" t="str">
        <f>HYPERLINK("https://drive.google.com/open?id=0B3K8v8jgE390Ykl6Y19ac2RaeTg","Договор")</f>
        <v>Договор</v>
      </c>
      <c r="S135" s="22" t="str">
        <f>HYPERLINK("https://drive.google.com/open?id=1ugk6nk15DXsUjDmktZ2zmKo9mxYKKwG7","Документы")</f>
        <v>Документы</v>
      </c>
      <c r="T135" s="55"/>
      <c r="U135" s="55"/>
    </row>
    <row r="136" spans="1:21" ht="78.75">
      <c r="A136" s="55">
        <v>128</v>
      </c>
      <c r="B136" s="53" t="s">
        <v>20</v>
      </c>
      <c r="C136" s="53" t="s">
        <v>22</v>
      </c>
      <c r="D136" s="70" t="s">
        <v>21</v>
      </c>
      <c r="E136" s="55">
        <v>15091700001</v>
      </c>
      <c r="F136" s="39" t="s">
        <v>674</v>
      </c>
      <c r="G136" s="53" t="s">
        <v>675</v>
      </c>
      <c r="H136" s="88" t="s">
        <v>676</v>
      </c>
      <c r="I136" s="73">
        <v>42671</v>
      </c>
      <c r="J136" s="50">
        <v>2423151.46</v>
      </c>
      <c r="K136" s="50">
        <v>2240011.08</v>
      </c>
      <c r="L136" s="85" t="s">
        <v>598</v>
      </c>
      <c r="M136" s="87" t="s">
        <v>677</v>
      </c>
      <c r="N136" s="53" t="s">
        <v>31</v>
      </c>
      <c r="O136" s="53" t="s">
        <v>678</v>
      </c>
      <c r="P136" s="89">
        <v>3304016992</v>
      </c>
      <c r="Q136" s="53"/>
      <c r="R136" s="58" t="str">
        <f>HYPERLINK("https://drive.google.com/open?id=1l_ENr2x416rHGYkYfrPadT6pKpvFVNSY","Договор")</f>
        <v>Договор</v>
      </c>
      <c r="S136" s="22" t="str">
        <f>HYPERLINK("https://drive.google.com/open?id=17y319g1SAV6XrzfQZrf0nW1S0yF9f8hS","Документы")</f>
        <v>Документы</v>
      </c>
      <c r="T136" s="55"/>
      <c r="U136" s="55"/>
    </row>
    <row r="137" spans="1:21" ht="78.75">
      <c r="A137" s="55">
        <v>129</v>
      </c>
      <c r="B137" s="53" t="s">
        <v>20</v>
      </c>
      <c r="C137" s="53" t="s">
        <v>22</v>
      </c>
      <c r="D137" s="70" t="s">
        <v>21</v>
      </c>
      <c r="E137" s="55">
        <v>25091700013</v>
      </c>
      <c r="F137" s="39" t="s">
        <v>679</v>
      </c>
      <c r="G137" s="53" t="s">
        <v>680</v>
      </c>
      <c r="H137" s="88" t="s">
        <v>681</v>
      </c>
      <c r="I137" s="73">
        <v>42671</v>
      </c>
      <c r="J137" s="50">
        <v>1208170.21</v>
      </c>
      <c r="K137" s="50">
        <v>1115866.31</v>
      </c>
      <c r="L137" s="85" t="s">
        <v>598</v>
      </c>
      <c r="M137" s="87" t="s">
        <v>682</v>
      </c>
      <c r="N137" s="53" t="s">
        <v>31</v>
      </c>
      <c r="O137" s="53" t="s">
        <v>678</v>
      </c>
      <c r="P137" s="89">
        <v>3304016992</v>
      </c>
      <c r="Q137" s="53"/>
      <c r="R137" s="58" t="str">
        <f>HYPERLINK("https://drive.google.com/open?id=1SlkzevnG4FMET9mDMmnl4zOnpanpRoD2","Договор")</f>
        <v>Договор</v>
      </c>
      <c r="S137" s="22" t="str">
        <f>HYPERLINK("https://drive.google.com/open?id=1Ch5_1J3lGOJQs8avL3RHrkcd3Jzm7Aia","Документы")</f>
        <v>Документы</v>
      </c>
      <c r="T137" s="55"/>
      <c r="U137" s="55"/>
    </row>
    <row r="138" spans="1:21" ht="90">
      <c r="A138" s="55">
        <v>130</v>
      </c>
      <c r="B138" s="53" t="s">
        <v>20</v>
      </c>
      <c r="C138" s="53" t="s">
        <v>22</v>
      </c>
      <c r="D138" s="70" t="s">
        <v>21</v>
      </c>
      <c r="E138" s="55">
        <v>20091700016</v>
      </c>
      <c r="F138" s="39" t="s">
        <v>683</v>
      </c>
      <c r="G138" s="53" t="s">
        <v>684</v>
      </c>
      <c r="H138" s="80" t="s">
        <v>685</v>
      </c>
      <c r="I138" s="73">
        <v>42970</v>
      </c>
      <c r="J138" s="50">
        <v>3736408.62</v>
      </c>
      <c r="K138" s="50">
        <v>3418813.94</v>
      </c>
      <c r="L138" s="85">
        <v>9.150000141E-3</v>
      </c>
      <c r="M138" s="87" t="s">
        <v>686</v>
      </c>
      <c r="N138" s="53" t="s">
        <v>687</v>
      </c>
      <c r="O138" s="53" t="s">
        <v>688</v>
      </c>
      <c r="P138" s="89">
        <v>7721024057</v>
      </c>
      <c r="Q138" s="53"/>
      <c r="R138" s="58" t="str">
        <f>HYPERLINK("https://drive.google.com/open?id=14hYgFQx3PRRZG8DgrQrd__aXClAhebuF","Договор")</f>
        <v>Договор</v>
      </c>
      <c r="S138" s="55"/>
      <c r="T138" s="55"/>
      <c r="U138" s="55"/>
    </row>
    <row r="139" spans="1:21" ht="105">
      <c r="A139" s="55">
        <v>131</v>
      </c>
      <c r="B139" s="53" t="s">
        <v>20</v>
      </c>
      <c r="C139" s="53" t="s">
        <v>22</v>
      </c>
      <c r="D139" s="70" t="s">
        <v>21</v>
      </c>
      <c r="E139" s="55">
        <v>20091700017</v>
      </c>
      <c r="F139" s="39" t="s">
        <v>689</v>
      </c>
      <c r="G139" s="53" t="s">
        <v>690</v>
      </c>
      <c r="H139" s="80" t="s">
        <v>691</v>
      </c>
      <c r="I139" s="73">
        <v>42970</v>
      </c>
      <c r="J139" s="50">
        <v>3569505.36</v>
      </c>
      <c r="K139" s="50">
        <v>3498115.24</v>
      </c>
      <c r="L139" s="85"/>
      <c r="M139" s="87" t="s">
        <v>686</v>
      </c>
      <c r="N139" s="53" t="s">
        <v>687</v>
      </c>
      <c r="O139" s="53" t="s">
        <v>688</v>
      </c>
      <c r="P139" s="89">
        <v>7721024057</v>
      </c>
      <c r="Q139" s="53"/>
      <c r="R139" s="58" t="str">
        <f>HYPERLINK("https://drive.google.com/open?id=1iGg3ysYs-qya2ucO6HUyBPCLJOFxpe6g","Договор")</f>
        <v>Договор</v>
      </c>
      <c r="S139" s="55"/>
      <c r="T139" s="55"/>
      <c r="U139" s="55"/>
    </row>
    <row r="140" spans="1:21" ht="94.5">
      <c r="A140" s="55">
        <v>132</v>
      </c>
      <c r="B140" s="53" t="s">
        <v>20</v>
      </c>
      <c r="C140" s="53" t="s">
        <v>22</v>
      </c>
      <c r="D140" s="70" t="s">
        <v>21</v>
      </c>
      <c r="E140" s="55">
        <v>8091700025</v>
      </c>
      <c r="F140" s="39" t="s">
        <v>692</v>
      </c>
      <c r="G140" s="53" t="s">
        <v>693</v>
      </c>
      <c r="H140" s="76" t="s">
        <v>694</v>
      </c>
      <c r="I140" s="73">
        <v>42671</v>
      </c>
      <c r="J140" s="50">
        <v>1939059.43</v>
      </c>
      <c r="K140" s="50" t="s">
        <v>695</v>
      </c>
      <c r="L140" s="85">
        <v>5.0000000000000001E-3</v>
      </c>
      <c r="M140" s="87" t="s">
        <v>696</v>
      </c>
      <c r="N140" s="53" t="s">
        <v>607</v>
      </c>
      <c r="O140" s="53" t="s">
        <v>697</v>
      </c>
      <c r="P140" s="89">
        <v>3316002190</v>
      </c>
      <c r="Q140" s="53"/>
      <c r="R140" s="58" t="str">
        <f>HYPERLINK("https://drive.google.com/open?id=1pvySr63NjO6H15-G0TJcbsD42Ov9qofj","Договор")</f>
        <v>Договор</v>
      </c>
      <c r="S140" s="22" t="str">
        <f>HYPERLINK("https://drive.google.com/open?id=1EL8hXAf1i-Ih73jYVQf1IOsxUawtcW8k","Документы")</f>
        <v>Документы</v>
      </c>
      <c r="T140" s="55"/>
      <c r="U140" s="55"/>
    </row>
    <row r="141" spans="1:21" ht="94.5">
      <c r="A141" s="46">
        <v>133</v>
      </c>
      <c r="B141" s="46" t="s">
        <v>20</v>
      </c>
      <c r="C141" s="46" t="s">
        <v>22</v>
      </c>
      <c r="D141" s="46" t="s">
        <v>21</v>
      </c>
      <c r="E141" s="46" t="s">
        <v>698</v>
      </c>
      <c r="F141" s="48" t="s">
        <v>699</v>
      </c>
      <c r="G141" s="48" t="s">
        <v>700</v>
      </c>
      <c r="H141" s="90" t="s">
        <v>701</v>
      </c>
      <c r="I141" s="48">
        <v>42671</v>
      </c>
      <c r="J141" s="50">
        <v>5848448.6600000001</v>
      </c>
      <c r="K141" s="50">
        <v>5414626.9800000004</v>
      </c>
      <c r="L141" s="51" t="s">
        <v>598</v>
      </c>
      <c r="M141" s="48" t="s">
        <v>702</v>
      </c>
      <c r="N141" s="46" t="s">
        <v>31</v>
      </c>
      <c r="O141" s="46" t="s">
        <v>32</v>
      </c>
      <c r="P141" s="55">
        <v>3304016992</v>
      </c>
      <c r="Q141" s="53"/>
      <c r="R141" s="58" t="str">
        <f>HYPERLINK("https://drive.google.com/open?id=1jCp69fJet5sL_QP4Zhge1HvXe9nI0Nlm","Договор")</f>
        <v>Договор</v>
      </c>
      <c r="S141" s="22" t="str">
        <f>HYPERLINK("https://drive.google.com/open?id=1hm7gv7A9vVJ6t0Vy2QLUlOy2jnSZ1RB7","Документы")</f>
        <v>Документы</v>
      </c>
      <c r="T141" s="55"/>
      <c r="U141" s="55"/>
    </row>
    <row r="142" spans="1:21" ht="124.5" customHeight="1">
      <c r="A142" s="46">
        <v>134</v>
      </c>
      <c r="B142" s="46" t="s">
        <v>20</v>
      </c>
      <c r="C142" s="46" t="s">
        <v>22</v>
      </c>
      <c r="D142" s="46" t="s">
        <v>21</v>
      </c>
      <c r="E142" s="46" t="s">
        <v>703</v>
      </c>
      <c r="F142" s="48" t="s">
        <v>704</v>
      </c>
      <c r="G142" s="48" t="s">
        <v>705</v>
      </c>
      <c r="H142" s="90" t="s">
        <v>706</v>
      </c>
      <c r="I142" s="48">
        <v>42885</v>
      </c>
      <c r="J142" s="50">
        <v>4454532.62</v>
      </c>
      <c r="K142" s="50">
        <v>4454532.62</v>
      </c>
      <c r="L142" s="51">
        <v>0</v>
      </c>
      <c r="M142" s="48" t="s">
        <v>707</v>
      </c>
      <c r="N142" s="46" t="s">
        <v>708</v>
      </c>
      <c r="O142" s="46" t="s">
        <v>709</v>
      </c>
      <c r="P142" s="55">
        <v>3525161388</v>
      </c>
      <c r="Q142" s="53"/>
      <c r="R142" s="58" t="str">
        <f>HYPERLINK("https://drive.google.com/open?id=1aF_38D1vM7bPTG_maRmeytl9dRNZ5MlU","Договор")</f>
        <v>Договор</v>
      </c>
      <c r="S142" s="22" t="str">
        <f>HYPERLINK("https://drive.google.com/open?id=16JOC2jBqRmwVpq6QqehbYkCvtsN7g1-w","Документы")</f>
        <v>Документы</v>
      </c>
      <c r="T142" s="55"/>
      <c r="U142" s="55"/>
    </row>
    <row r="143" spans="1:21" ht="97.5" customHeight="1">
      <c r="A143" s="46">
        <v>135</v>
      </c>
      <c r="B143" s="46" t="s">
        <v>20</v>
      </c>
      <c r="C143" s="46" t="s">
        <v>22</v>
      </c>
      <c r="D143" s="46" t="s">
        <v>21</v>
      </c>
      <c r="E143" s="46" t="s">
        <v>710</v>
      </c>
      <c r="F143" s="48" t="s">
        <v>711</v>
      </c>
      <c r="G143" s="48" t="s">
        <v>712</v>
      </c>
      <c r="H143" s="90" t="s">
        <v>713</v>
      </c>
      <c r="I143" s="48">
        <v>42671</v>
      </c>
      <c r="J143" s="50">
        <v>434121.43</v>
      </c>
      <c r="K143" s="50">
        <v>434121.43</v>
      </c>
      <c r="L143" s="51">
        <v>0</v>
      </c>
      <c r="M143" s="48" t="s">
        <v>714</v>
      </c>
      <c r="N143" s="46" t="s">
        <v>665</v>
      </c>
      <c r="O143" s="53" t="s">
        <v>666</v>
      </c>
      <c r="P143" s="89">
        <v>332600108871</v>
      </c>
      <c r="Q143" s="53"/>
      <c r="R143" s="58" t="str">
        <f>HYPERLINK("https://drive.google.com/open?id=1XNFdlqUuEGfQimUrAjP0lPMbDEEw9tme","Договор")</f>
        <v>Договор</v>
      </c>
      <c r="S143" s="22" t="str">
        <f>HYPERLINK("https://drive.google.com/open?id=14IWyW2AnzC-It2rHlcFeyT6q9c-ICmn2","Документы")</f>
        <v>Документы</v>
      </c>
      <c r="T143" s="55"/>
      <c r="U143" s="55"/>
    </row>
    <row r="144" spans="1:21" ht="110.25">
      <c r="A144" s="46">
        <v>136</v>
      </c>
      <c r="B144" s="46" t="s">
        <v>20</v>
      </c>
      <c r="C144" s="46" t="s">
        <v>22</v>
      </c>
      <c r="D144" s="46" t="s">
        <v>21</v>
      </c>
      <c r="E144" s="46" t="s">
        <v>715</v>
      </c>
      <c r="F144" s="48" t="s">
        <v>716</v>
      </c>
      <c r="G144" s="48" t="s">
        <v>717</v>
      </c>
      <c r="H144" s="49" t="s">
        <v>718</v>
      </c>
      <c r="I144" s="48">
        <v>42885</v>
      </c>
      <c r="J144" s="50">
        <v>2663189.33</v>
      </c>
      <c r="K144" s="50">
        <v>2463951.15</v>
      </c>
      <c r="L144" s="51" t="s">
        <v>598</v>
      </c>
      <c r="M144" s="48" t="s">
        <v>719</v>
      </c>
      <c r="N144" s="48" t="s">
        <v>280</v>
      </c>
      <c r="O144" s="46" t="s">
        <v>281</v>
      </c>
      <c r="P144" s="52">
        <v>3329001162</v>
      </c>
      <c r="Q144" s="53"/>
      <c r="R144" s="58" t="str">
        <f>HYPERLINK("https://drive.google.com/open?id=1gMstn2ZFAY-hvYMkTj8E9aoesGgAcTl9","Договор")</f>
        <v>Договор</v>
      </c>
      <c r="S144" s="22" t="str">
        <f>HYPERLINK("https://drive.google.com/open?id=1kNvxZra8cwiMF_eik4QDdqCqgyAG85Y8","Документы")</f>
        <v>Документы</v>
      </c>
      <c r="T144" s="54"/>
      <c r="U144" s="54"/>
    </row>
    <row r="145" spans="1:21" ht="204.75" customHeight="1">
      <c r="A145" s="46">
        <v>137</v>
      </c>
      <c r="B145" s="46" t="s">
        <v>20</v>
      </c>
      <c r="C145" s="46" t="s">
        <v>22</v>
      </c>
      <c r="D145" s="46" t="s">
        <v>21</v>
      </c>
      <c r="E145" s="46" t="s">
        <v>720</v>
      </c>
      <c r="F145" s="48" t="s">
        <v>721</v>
      </c>
      <c r="G145" s="48" t="s">
        <v>722</v>
      </c>
      <c r="H145" s="91" t="s">
        <v>723</v>
      </c>
      <c r="I145" s="48">
        <v>42885</v>
      </c>
      <c r="J145" s="50">
        <v>4895068.9000000004</v>
      </c>
      <c r="K145" s="50">
        <v>4538062.04</v>
      </c>
      <c r="L145" s="51" t="s">
        <v>598</v>
      </c>
      <c r="M145" s="48" t="s">
        <v>724</v>
      </c>
      <c r="N145" s="48" t="s">
        <v>280</v>
      </c>
      <c r="O145" s="46" t="s">
        <v>281</v>
      </c>
      <c r="P145" s="52">
        <v>3329001162</v>
      </c>
      <c r="Q145" s="53"/>
      <c r="R145" s="58" t="str">
        <f>HYPERLINK("https://drive.google.com/open?id=1mDhRQg-AmwXDdvS2OXDnK3UiYLAd0oSr","Договор")</f>
        <v>Договор</v>
      </c>
      <c r="S145" s="22" t="str">
        <f>HYPERLINK("https://drive.google.com/open?id=1jLVhdZfqcRrJwMkntDpgiVWvopSpdMpP","Документы")</f>
        <v>Документы</v>
      </c>
      <c r="T145" s="54"/>
      <c r="U145" s="54"/>
    </row>
    <row r="146" spans="1:21" ht="110.25">
      <c r="A146" s="46">
        <v>138</v>
      </c>
      <c r="B146" s="46" t="s">
        <v>20</v>
      </c>
      <c r="C146" s="46" t="s">
        <v>22</v>
      </c>
      <c r="D146" s="46" t="s">
        <v>21</v>
      </c>
      <c r="E146" s="46" t="s">
        <v>725</v>
      </c>
      <c r="F146" s="48" t="s">
        <v>726</v>
      </c>
      <c r="G146" s="48" t="s">
        <v>727</v>
      </c>
      <c r="H146" s="91" t="s">
        <v>728</v>
      </c>
      <c r="I146" s="48">
        <v>42885</v>
      </c>
      <c r="J146" s="50">
        <v>5507051.5899999999</v>
      </c>
      <c r="K146" s="50">
        <v>5098538.55</v>
      </c>
      <c r="L146" s="51" t="s">
        <v>598</v>
      </c>
      <c r="M146" s="48" t="s">
        <v>729</v>
      </c>
      <c r="N146" s="48" t="s">
        <v>280</v>
      </c>
      <c r="O146" s="46" t="s">
        <v>281</v>
      </c>
      <c r="P146" s="52">
        <v>3329001162</v>
      </c>
      <c r="Q146" s="53"/>
      <c r="R146" s="58" t="str">
        <f>HYPERLINK("https://drive.google.com/open?id=15g3z2ggY0DyhQtvAtSDB1OIp7y6giVgb","Договор")</f>
        <v>Договор</v>
      </c>
      <c r="S146" s="22" t="str">
        <f>HYPERLINK("https://drive.google.com/open?id=1IW7Jczg3_t7j3v3PT7KAShYiF_zkxQTa","Документы")</f>
        <v>Документы</v>
      </c>
      <c r="T146" s="54"/>
      <c r="U146" s="54"/>
    </row>
    <row r="147" spans="1:21" ht="110.25">
      <c r="A147" s="46">
        <v>139</v>
      </c>
      <c r="B147" s="46" t="s">
        <v>20</v>
      </c>
      <c r="C147" s="46" t="s">
        <v>22</v>
      </c>
      <c r="D147" s="46" t="s">
        <v>21</v>
      </c>
      <c r="E147" s="46" t="s">
        <v>739</v>
      </c>
      <c r="F147" s="48" t="s">
        <v>740</v>
      </c>
      <c r="G147" s="48" t="s">
        <v>741</v>
      </c>
      <c r="H147" s="91" t="s">
        <v>742</v>
      </c>
      <c r="I147" s="48">
        <v>42671</v>
      </c>
      <c r="J147" s="50">
        <v>4099906.82</v>
      </c>
      <c r="K147" s="50">
        <v>4099906.82</v>
      </c>
      <c r="L147" s="51">
        <v>0.01</v>
      </c>
      <c r="M147" s="48" t="s">
        <v>743</v>
      </c>
      <c r="N147" s="48" t="s">
        <v>744</v>
      </c>
      <c r="O147" s="46" t="s">
        <v>745</v>
      </c>
      <c r="P147" s="52">
        <v>3329058867</v>
      </c>
      <c r="Q147" s="53"/>
      <c r="R147" s="58"/>
      <c r="S147" s="22" t="str">
        <f>HYPERLINK("https://drive.google.com/open?id=10dWkCQ__kOL4kiaKWV7YmzLjNUg-Ig7R","Документы")</f>
        <v>Документы</v>
      </c>
      <c r="T147" s="54"/>
      <c r="U147" s="54"/>
    </row>
    <row r="148" spans="1:21" ht="78.75">
      <c r="A148" s="46">
        <v>140</v>
      </c>
      <c r="B148" s="53" t="s">
        <v>20</v>
      </c>
      <c r="C148" s="53" t="s">
        <v>22</v>
      </c>
      <c r="D148" s="70" t="s">
        <v>21</v>
      </c>
      <c r="E148" s="55">
        <v>28091700005</v>
      </c>
      <c r="F148" s="39" t="s">
        <v>730</v>
      </c>
      <c r="G148" s="53" t="s">
        <v>731</v>
      </c>
      <c r="H148" s="88" t="s">
        <v>732</v>
      </c>
      <c r="I148" s="86">
        <v>42671</v>
      </c>
      <c r="J148" s="50">
        <v>131963.9</v>
      </c>
      <c r="K148" s="50">
        <v>122818.87</v>
      </c>
      <c r="L148" s="85" t="s">
        <v>629</v>
      </c>
      <c r="M148" s="87" t="s">
        <v>733</v>
      </c>
      <c r="N148" s="53" t="s">
        <v>665</v>
      </c>
      <c r="O148" s="53" t="s">
        <v>666</v>
      </c>
      <c r="P148" s="89">
        <v>332600108871</v>
      </c>
      <c r="Q148" s="53"/>
      <c r="R148" s="58" t="str">
        <f>HYPERLINK("https://drive.google.com/open?id=112wEl9roKu8um5KU6Q38MCFgLxLNjper","Договор")</f>
        <v>Договор</v>
      </c>
      <c r="S148" s="22" t="str">
        <f>HYPERLINK("https://drive.google.com/open?id=1QkGkIeRWeGLzV7QXZQ5M4oUpp-h-GYKz","Документы")</f>
        <v>Документы</v>
      </c>
      <c r="T148" s="55"/>
      <c r="U148" s="55"/>
    </row>
    <row r="149" spans="1:21" ht="78.75">
      <c r="A149" s="46">
        <v>141</v>
      </c>
      <c r="B149" s="53" t="s">
        <v>20</v>
      </c>
      <c r="C149" s="53" t="s">
        <v>22</v>
      </c>
      <c r="D149" s="70" t="s">
        <v>21</v>
      </c>
      <c r="E149" s="55">
        <v>2101700006</v>
      </c>
      <c r="F149" s="39" t="s">
        <v>734</v>
      </c>
      <c r="G149" s="53" t="s">
        <v>735</v>
      </c>
      <c r="H149" s="88" t="s">
        <v>736</v>
      </c>
      <c r="I149" s="73">
        <v>42793</v>
      </c>
      <c r="J149" s="50">
        <v>3857601.58</v>
      </c>
      <c r="K149" s="50">
        <v>3857601.58</v>
      </c>
      <c r="L149" s="85">
        <v>0</v>
      </c>
      <c r="M149" s="87" t="s">
        <v>737</v>
      </c>
      <c r="N149" s="53" t="s">
        <v>653</v>
      </c>
      <c r="O149" s="53" t="s">
        <v>738</v>
      </c>
      <c r="P149" s="55">
        <v>3306005717</v>
      </c>
      <c r="Q149" s="53"/>
      <c r="R149" s="58" t="str">
        <f>HYPERLINK("https://drive.google.com/open?id=1ziFnWFoyNRfhmQE8NLn4etsuytsZSuEO","Договор")</f>
        <v>Договор</v>
      </c>
      <c r="S149" s="22" t="str">
        <f>HYPERLINK("https://drive.google.com/open?id=1TNsjCEvPij1bjCjykhtyDZSPXomWljN_","Документы")</f>
        <v>Документы</v>
      </c>
      <c r="T149" s="55"/>
      <c r="U149" s="55"/>
    </row>
    <row r="150" spans="1:21" ht="94.5">
      <c r="A150" s="46">
        <v>142</v>
      </c>
      <c r="B150" s="46" t="s">
        <v>20</v>
      </c>
      <c r="C150" s="46" t="s">
        <v>22</v>
      </c>
      <c r="D150" s="46" t="s">
        <v>21</v>
      </c>
      <c r="E150" s="46" t="s">
        <v>746</v>
      </c>
      <c r="F150" s="48" t="s">
        <v>747</v>
      </c>
      <c r="G150" s="48" t="s">
        <v>748</v>
      </c>
      <c r="H150" s="49" t="s">
        <v>749</v>
      </c>
      <c r="I150" s="48">
        <v>42793</v>
      </c>
      <c r="J150" s="50">
        <v>652867.71</v>
      </c>
      <c r="K150" s="50">
        <v>535330</v>
      </c>
      <c r="L150" s="51">
        <v>0.18</v>
      </c>
      <c r="M150" s="48" t="s">
        <v>750</v>
      </c>
      <c r="N150" s="48" t="s">
        <v>223</v>
      </c>
      <c r="O150" s="46" t="s">
        <v>224</v>
      </c>
      <c r="P150" s="52">
        <v>3327839216</v>
      </c>
      <c r="Q150" s="53"/>
      <c r="R150" s="58" t="str">
        <f>HYPERLINK("https://drive.google.com/open?id=1KJySPTz_WZt9KDbSz7K-EgX_6YZpOZlw","Договор")</f>
        <v>Договор</v>
      </c>
      <c r="S150" s="54"/>
      <c r="T150" s="54"/>
      <c r="U150" s="54"/>
    </row>
    <row r="151" spans="1:21" ht="94.5">
      <c r="A151" s="46">
        <v>143</v>
      </c>
      <c r="B151" s="46" t="s">
        <v>20</v>
      </c>
      <c r="C151" s="46" t="s">
        <v>22</v>
      </c>
      <c r="D151" s="46" t="s">
        <v>21</v>
      </c>
      <c r="E151" s="46" t="s">
        <v>751</v>
      </c>
      <c r="F151" s="48" t="s">
        <v>752</v>
      </c>
      <c r="G151" s="48" t="s">
        <v>753</v>
      </c>
      <c r="H151" s="48" t="s">
        <v>754</v>
      </c>
      <c r="I151" s="48">
        <v>42793</v>
      </c>
      <c r="J151" s="50">
        <v>2904309.93</v>
      </c>
      <c r="K151" s="50">
        <v>2619969.85</v>
      </c>
      <c r="L151" s="51" t="s">
        <v>598</v>
      </c>
      <c r="M151" s="48" t="s">
        <v>755</v>
      </c>
      <c r="N151" s="48" t="s">
        <v>48</v>
      </c>
      <c r="O151" s="46" t="s">
        <v>756</v>
      </c>
      <c r="P151" s="52">
        <v>332708060752</v>
      </c>
      <c r="Q151" s="53"/>
      <c r="R151" s="58" t="str">
        <f>HYPERLINK("https://drive.google.com/open?id=1HeZVnuuq0MvcT9rDg8E3eesRmR4XizGJ","Договор")</f>
        <v>Договор</v>
      </c>
      <c r="S151" s="54"/>
      <c r="T151" s="54"/>
      <c r="U151" s="54"/>
    </row>
    <row r="152" spans="1:21" ht="94.5">
      <c r="A152" s="46">
        <v>144</v>
      </c>
      <c r="B152" s="46" t="s">
        <v>20</v>
      </c>
      <c r="C152" s="46" t="s">
        <v>22</v>
      </c>
      <c r="D152" s="46" t="s">
        <v>21</v>
      </c>
      <c r="E152" s="46" t="s">
        <v>757</v>
      </c>
      <c r="F152" s="48" t="s">
        <v>758</v>
      </c>
      <c r="G152" s="48" t="s">
        <v>759</v>
      </c>
      <c r="H152" s="90" t="s">
        <v>760</v>
      </c>
      <c r="I152" s="48">
        <v>42671</v>
      </c>
      <c r="J152" s="50">
        <v>403304.11</v>
      </c>
      <c r="K152" s="50">
        <v>369053.58</v>
      </c>
      <c r="L152" s="51" t="s">
        <v>598</v>
      </c>
      <c r="M152" s="48" t="s">
        <v>761</v>
      </c>
      <c r="N152" s="46" t="s">
        <v>665</v>
      </c>
      <c r="O152" s="53" t="s">
        <v>666</v>
      </c>
      <c r="P152" s="89">
        <v>332600108871</v>
      </c>
      <c r="Q152" s="53"/>
      <c r="R152" s="58" t="str">
        <f>HYPERLINK("https://drive.google.com/open?id=1Z9bF1696XMeQXddeV0Om-pUg30V27P4I","Договор")</f>
        <v>Договор</v>
      </c>
      <c r="S152" s="22" t="str">
        <f>HYPERLINK("https://drive.google.com/open?id=1XhUz6mtZD75UudAaBGlrlE3EYlC4oyII","Документы")</f>
        <v>Документы</v>
      </c>
      <c r="T152" s="55"/>
      <c r="U152" s="55"/>
    </row>
    <row r="153" spans="1:21" ht="110.25">
      <c r="A153" s="46">
        <v>145</v>
      </c>
      <c r="B153" s="46" t="s">
        <v>20</v>
      </c>
      <c r="C153" s="46" t="s">
        <v>504</v>
      </c>
      <c r="D153" s="46" t="s">
        <v>505</v>
      </c>
      <c r="E153" s="47"/>
      <c r="F153" s="48" t="s">
        <v>763</v>
      </c>
      <c r="G153" s="48" t="s">
        <v>764</v>
      </c>
      <c r="H153" s="49" t="s">
        <v>765</v>
      </c>
      <c r="I153" s="48"/>
      <c r="J153" s="50"/>
      <c r="K153" s="50">
        <v>290895</v>
      </c>
      <c r="L153" s="51">
        <v>0</v>
      </c>
      <c r="M153" s="48" t="s">
        <v>766</v>
      </c>
      <c r="N153" s="48" t="s">
        <v>578</v>
      </c>
      <c r="O153" s="46" t="s">
        <v>579</v>
      </c>
      <c r="P153" s="52">
        <v>3305708844</v>
      </c>
      <c r="Q153" s="46"/>
      <c r="R153" s="58" t="str">
        <f>HYPERLINK("https://drive.google.com/open?id=1OC6rSPcuZQnZtbZn3KYG6fnI6mZpmt7K","Договор")</f>
        <v>Договор</v>
      </c>
      <c r="S153" s="46"/>
      <c r="T153" s="46"/>
      <c r="U153" s="47"/>
    </row>
    <row r="154" spans="1:21" ht="94.5">
      <c r="A154" s="46">
        <v>146</v>
      </c>
      <c r="B154" s="46" t="s">
        <v>20</v>
      </c>
      <c r="C154" s="46" t="s">
        <v>22</v>
      </c>
      <c r="D154" s="46" t="s">
        <v>21</v>
      </c>
      <c r="E154" s="46" t="s">
        <v>767</v>
      </c>
      <c r="F154" s="48" t="s">
        <v>758</v>
      </c>
      <c r="G154" s="48" t="s">
        <v>768</v>
      </c>
      <c r="H154" s="90" t="s">
        <v>769</v>
      </c>
      <c r="I154" s="48">
        <v>42671</v>
      </c>
      <c r="J154" s="50">
        <v>792732.66</v>
      </c>
      <c r="K154" s="50">
        <v>712592.87</v>
      </c>
      <c r="L154" s="51" t="s">
        <v>598</v>
      </c>
      <c r="M154" s="48" t="s">
        <v>770</v>
      </c>
      <c r="N154" s="46" t="s">
        <v>665</v>
      </c>
      <c r="O154" s="53" t="s">
        <v>666</v>
      </c>
      <c r="P154" s="89">
        <v>332600108871</v>
      </c>
      <c r="Q154" s="46"/>
      <c r="R154" s="58" t="str">
        <f>HYPERLINK("https://drive.google.com/open?id=1tyJfq-_0AxvKUZ9pSkume5LP-niTw2Zo","Договор")</f>
        <v>Договор</v>
      </c>
      <c r="S154" s="22" t="str">
        <f>HYPERLINK("https://drive.google.com/open?id=1E4VO2GKBzFj66ZV68atuFJbqp3tbXb9b","Документы")</f>
        <v>Документы</v>
      </c>
      <c r="T154" s="46"/>
      <c r="U154" s="47"/>
    </row>
    <row r="155" spans="1:21" ht="141.75">
      <c r="A155" s="46">
        <v>147</v>
      </c>
      <c r="B155" s="46" t="s">
        <v>20</v>
      </c>
      <c r="C155" s="46" t="s">
        <v>22</v>
      </c>
      <c r="D155" s="46" t="s">
        <v>21</v>
      </c>
      <c r="E155" s="46" t="s">
        <v>771</v>
      </c>
      <c r="F155" s="48" t="s">
        <v>772</v>
      </c>
      <c r="G155" s="48" t="s">
        <v>773</v>
      </c>
      <c r="H155" s="91" t="s">
        <v>774</v>
      </c>
      <c r="I155" s="79">
        <v>42885</v>
      </c>
      <c r="J155" s="50">
        <v>3329800.79</v>
      </c>
      <c r="K155" s="50">
        <v>2850212</v>
      </c>
      <c r="L155" s="51">
        <v>8.5597072610000009E-3</v>
      </c>
      <c r="M155" s="48" t="s">
        <v>786</v>
      </c>
      <c r="N155" s="48" t="s">
        <v>775</v>
      </c>
      <c r="O155" s="46" t="s">
        <v>776</v>
      </c>
      <c r="P155" s="52">
        <v>3245515130</v>
      </c>
      <c r="Q155" s="46"/>
      <c r="R155" s="58" t="str">
        <f>HYPERLINK("https://drive.google.com/open?id=1c3ESplsEYb-pN1YLd_STdTIi4cxTX6Fq","Договор")</f>
        <v>Договор</v>
      </c>
      <c r="S155" s="22" t="str">
        <f>HYPERLINK("https://drive.google.com/open?id=1XZdBAJ-abA20_jhnKrTBf53WOkfA-Uic","Документы")</f>
        <v>Документы</v>
      </c>
      <c r="T155" s="46"/>
      <c r="U155" s="47"/>
    </row>
    <row r="156" spans="1:21" ht="78.75">
      <c r="A156" s="46">
        <v>148</v>
      </c>
      <c r="B156" s="46" t="s">
        <v>20</v>
      </c>
      <c r="C156" s="46" t="s">
        <v>22</v>
      </c>
      <c r="D156" s="46" t="s">
        <v>21</v>
      </c>
      <c r="E156" s="46" t="s">
        <v>777</v>
      </c>
      <c r="F156" s="48" t="s">
        <v>778</v>
      </c>
      <c r="G156" s="48" t="s">
        <v>779</v>
      </c>
      <c r="H156" s="91" t="s">
        <v>780</v>
      </c>
      <c r="I156" s="79">
        <v>42885</v>
      </c>
      <c r="J156" s="50">
        <v>1318855.46</v>
      </c>
      <c r="K156" s="50">
        <v>1186964.72</v>
      </c>
      <c r="L156" s="51">
        <v>8.9999606173000006E-3</v>
      </c>
      <c r="M156" s="48" t="s">
        <v>781</v>
      </c>
      <c r="N156" s="48" t="s">
        <v>775</v>
      </c>
      <c r="O156" s="46" t="s">
        <v>776</v>
      </c>
      <c r="P156" s="52">
        <v>3245515130</v>
      </c>
      <c r="Q156" s="46"/>
      <c r="R156" s="58" t="str">
        <f>HYPERLINK("https://drive.google.com/open?id=1FGpbUbquQ0NDQ6hUbISDFgkx4_EFqql6","Договор")</f>
        <v>Договор</v>
      </c>
      <c r="S156" s="22" t="str">
        <f>HYPERLINK("https://drive.google.com/open?id=1NTqFtHo_WYBPzPTzS9G_HkUWUJU4ZDW5","Документы")</f>
        <v>Документы</v>
      </c>
      <c r="T156" s="46"/>
      <c r="U156" s="47"/>
    </row>
    <row r="157" spans="1:21" ht="110.25">
      <c r="A157" s="46">
        <v>149</v>
      </c>
      <c r="B157" s="46" t="s">
        <v>20</v>
      </c>
      <c r="C157" s="46" t="s">
        <v>22</v>
      </c>
      <c r="D157" s="46" t="s">
        <v>21</v>
      </c>
      <c r="E157" s="46" t="s">
        <v>782</v>
      </c>
      <c r="F157" s="48" t="s">
        <v>783</v>
      </c>
      <c r="G157" s="48" t="s">
        <v>784</v>
      </c>
      <c r="H157" s="91" t="s">
        <v>785</v>
      </c>
      <c r="I157" s="79">
        <v>42885</v>
      </c>
      <c r="J157" s="50">
        <v>2650135.58</v>
      </c>
      <c r="K157" s="50">
        <v>2650135.58</v>
      </c>
      <c r="L157" s="51">
        <v>0.01</v>
      </c>
      <c r="M157" s="48" t="s">
        <v>787</v>
      </c>
      <c r="N157" s="48" t="s">
        <v>775</v>
      </c>
      <c r="O157" s="46" t="s">
        <v>776</v>
      </c>
      <c r="P157" s="52">
        <v>3245515130</v>
      </c>
      <c r="Q157" s="46"/>
      <c r="R157" s="58" t="str">
        <f>HYPERLINK("https://drive.google.com/open?id=1vLA9H5KAgBAhXOLiHBuqs5_i5ETkrRpe","Договор")</f>
        <v>Договор</v>
      </c>
      <c r="S157" s="22" t="str">
        <f>HYPERLINK("https://drive.google.com/open?id=1izgfM5u7e-lPQvDk9u__wH7wyl-qcObR","Документы")</f>
        <v>Документы</v>
      </c>
      <c r="T157" s="46"/>
      <c r="U157" s="47"/>
    </row>
    <row r="158" spans="1:21" ht="78.75">
      <c r="A158" s="46">
        <v>150</v>
      </c>
      <c r="B158" s="46" t="s">
        <v>20</v>
      </c>
      <c r="C158" s="46" t="s">
        <v>22</v>
      </c>
      <c r="D158" s="46" t="s">
        <v>21</v>
      </c>
      <c r="E158" s="46" t="s">
        <v>788</v>
      </c>
      <c r="F158" s="48" t="s">
        <v>789</v>
      </c>
      <c r="G158" s="48" t="s">
        <v>790</v>
      </c>
      <c r="H158" s="91" t="s">
        <v>791</v>
      </c>
      <c r="I158" s="79">
        <v>42793</v>
      </c>
      <c r="J158" s="50">
        <v>906797.76</v>
      </c>
      <c r="K158" s="50" t="s">
        <v>792</v>
      </c>
      <c r="L158" s="51">
        <v>0.13500000000000001</v>
      </c>
      <c r="M158" s="48" t="s">
        <v>793</v>
      </c>
      <c r="N158" s="48" t="s">
        <v>794</v>
      </c>
      <c r="O158" s="46" t="s">
        <v>795</v>
      </c>
      <c r="P158" s="52">
        <v>3304010990</v>
      </c>
      <c r="Q158" s="46"/>
      <c r="R158" s="58" t="str">
        <f>HYPERLINK("https://drive.google.com/open?id=1UA-Z1gzBlgMgbU4cQyFYecdyDEdBCuYH","Договор")</f>
        <v>Договор</v>
      </c>
      <c r="S158" s="22" t="str">
        <f>HYPERLINK("https://drive.google.com/open?id=1dcUhWx5pR8XhHB-CF4pAtj2wbPqTUcbA","Документы")</f>
        <v>Документы</v>
      </c>
      <c r="T158" s="46"/>
      <c r="U158" s="47"/>
    </row>
    <row r="159" spans="1:21" ht="110.25">
      <c r="A159" s="46">
        <v>151</v>
      </c>
      <c r="B159" s="46" t="s">
        <v>20</v>
      </c>
      <c r="C159" s="46" t="s">
        <v>22</v>
      </c>
      <c r="D159" s="46" t="s">
        <v>21</v>
      </c>
      <c r="E159" s="46" t="s">
        <v>796</v>
      </c>
      <c r="F159" s="48" t="s">
        <v>797</v>
      </c>
      <c r="G159" s="48" t="s">
        <v>798</v>
      </c>
      <c r="H159" s="91" t="s">
        <v>799</v>
      </c>
      <c r="I159" s="79">
        <v>42793</v>
      </c>
      <c r="J159" s="50">
        <v>4428257.47</v>
      </c>
      <c r="K159" s="50">
        <v>4116133.51</v>
      </c>
      <c r="L159" s="51" t="s">
        <v>598</v>
      </c>
      <c r="M159" s="92" t="s">
        <v>800</v>
      </c>
      <c r="N159" s="48" t="s">
        <v>513</v>
      </c>
      <c r="O159" s="92" t="s">
        <v>801</v>
      </c>
      <c r="P159" s="52">
        <v>3308004490</v>
      </c>
      <c r="Q159" s="46"/>
      <c r="R159" s="58" t="str">
        <f>HYPERLINK("https://drive.google.com/open?id=1ravEWxNGekcVJSbcYPtdzZxAwr_6ooDF","Договор")</f>
        <v>Договор</v>
      </c>
      <c r="S159" s="22" t="str">
        <f>HYPERLINK("https://drive.google.com/open?id=1tHdOxp92_gGGOsoZVyC4pP-NzshkzfZY","Документы")</f>
        <v>Документы</v>
      </c>
      <c r="T159" s="46"/>
      <c r="U159" s="47"/>
    </row>
    <row r="160" spans="1:21" ht="94.5">
      <c r="A160" s="46">
        <v>152</v>
      </c>
      <c r="B160" s="46" t="s">
        <v>20</v>
      </c>
      <c r="C160" s="46" t="s">
        <v>22</v>
      </c>
      <c r="D160" s="46" t="s">
        <v>21</v>
      </c>
      <c r="E160" s="46" t="s">
        <v>802</v>
      </c>
      <c r="F160" s="48" t="s">
        <v>803</v>
      </c>
      <c r="G160" s="48" t="s">
        <v>804</v>
      </c>
      <c r="H160" s="91" t="s">
        <v>805</v>
      </c>
      <c r="I160" s="79">
        <v>42793</v>
      </c>
      <c r="J160" s="50">
        <v>1670910.41</v>
      </c>
      <c r="K160" s="50">
        <v>1518473.11</v>
      </c>
      <c r="L160" s="51" t="s">
        <v>598</v>
      </c>
      <c r="M160" s="92" t="s">
        <v>806</v>
      </c>
      <c r="N160" s="48" t="s">
        <v>641</v>
      </c>
      <c r="O160" s="92" t="s">
        <v>807</v>
      </c>
      <c r="P160" s="52">
        <v>3304018728</v>
      </c>
      <c r="Q160" s="46"/>
      <c r="R160" s="58" t="str">
        <f>HYPERLINK("https://drive.google.com/open?id=1l8n8WnvjDJUXLkE5tmxDBOeB8VwbGAMk","Договор")</f>
        <v>Договор</v>
      </c>
      <c r="S160" s="46"/>
      <c r="T160" s="46"/>
      <c r="U160" s="47"/>
    </row>
    <row r="161" spans="1:21" ht="78.75">
      <c r="A161" s="46">
        <v>153</v>
      </c>
      <c r="B161" s="46" t="s">
        <v>20</v>
      </c>
      <c r="C161" s="46" t="s">
        <v>22</v>
      </c>
      <c r="D161" s="46" t="s">
        <v>21</v>
      </c>
      <c r="E161" s="46" t="s">
        <v>808</v>
      </c>
      <c r="F161" s="48" t="s">
        <v>809</v>
      </c>
      <c r="G161" s="48" t="s">
        <v>810</v>
      </c>
      <c r="H161" s="91" t="s">
        <v>811</v>
      </c>
      <c r="I161" s="79">
        <v>42885</v>
      </c>
      <c r="J161" s="50">
        <v>1741279.34</v>
      </c>
      <c r="K161" s="50">
        <v>1741279.34</v>
      </c>
      <c r="L161" s="51">
        <v>0</v>
      </c>
      <c r="M161" s="48" t="s">
        <v>812</v>
      </c>
      <c r="N161" s="48" t="s">
        <v>775</v>
      </c>
      <c r="O161" s="46" t="s">
        <v>776</v>
      </c>
      <c r="P161" s="52">
        <v>3245515130</v>
      </c>
      <c r="Q161" s="46"/>
      <c r="R161" s="58" t="str">
        <f>HYPERLINK("https://drive.google.com/open?id=1r4ujThQ9n9w-rI7olheVQmDAZPnFbO-z","Договор")</f>
        <v>Договор</v>
      </c>
      <c r="S161" s="22" t="str">
        <f>HYPERLINK("https://drive.google.com/open?id=16WFXCSwKmA7friIBbW36ncAib4VOIYGb","Документы")</f>
        <v>Документы</v>
      </c>
      <c r="T161" s="46"/>
      <c r="U161" s="47"/>
    </row>
    <row r="162" spans="1:21" ht="78.75">
      <c r="A162" s="46">
        <v>154</v>
      </c>
      <c r="B162" s="46" t="s">
        <v>20</v>
      </c>
      <c r="C162" s="46" t="s">
        <v>22</v>
      </c>
      <c r="D162" s="46" t="s">
        <v>21</v>
      </c>
      <c r="E162" s="46" t="s">
        <v>813</v>
      </c>
      <c r="F162" s="48" t="s">
        <v>814</v>
      </c>
      <c r="G162" s="48" t="s">
        <v>815</v>
      </c>
      <c r="H162" s="91" t="s">
        <v>816</v>
      </c>
      <c r="I162" s="79">
        <v>42885</v>
      </c>
      <c r="J162" s="50">
        <v>1736563.77</v>
      </c>
      <c r="K162" s="50">
        <v>1736563.77</v>
      </c>
      <c r="L162" s="51">
        <v>0</v>
      </c>
      <c r="M162" s="48" t="s">
        <v>817</v>
      </c>
      <c r="N162" s="48" t="s">
        <v>775</v>
      </c>
      <c r="O162" s="46" t="s">
        <v>776</v>
      </c>
      <c r="P162" s="52">
        <v>3245515130</v>
      </c>
      <c r="Q162" s="46"/>
      <c r="R162" s="58" t="str">
        <f>HYPERLINK("https://drive.google.com/open?id=1LV-f8LYY9PZwSMCQCTDp6gvTHjWmtxFF","Договор")</f>
        <v>Договор</v>
      </c>
      <c r="S162" s="46"/>
      <c r="T162" s="46"/>
      <c r="U162" s="47"/>
    </row>
    <row r="163" spans="1:21" ht="78.75">
      <c r="A163" s="46">
        <v>155</v>
      </c>
      <c r="B163" s="46" t="s">
        <v>20</v>
      </c>
      <c r="C163" s="46" t="s">
        <v>22</v>
      </c>
      <c r="D163" s="46" t="s">
        <v>21</v>
      </c>
      <c r="E163" s="46" t="s">
        <v>818</v>
      </c>
      <c r="F163" s="48" t="s">
        <v>819</v>
      </c>
      <c r="G163" s="48" t="s">
        <v>820</v>
      </c>
      <c r="H163" s="91" t="s">
        <v>821</v>
      </c>
      <c r="I163" s="79">
        <v>42793</v>
      </c>
      <c r="J163" s="50">
        <v>802049.06</v>
      </c>
      <c r="K163" s="50" t="s">
        <v>822</v>
      </c>
      <c r="L163" s="51">
        <v>0.05</v>
      </c>
      <c r="M163" s="92" t="s">
        <v>823</v>
      </c>
      <c r="N163" s="48" t="s">
        <v>513</v>
      </c>
      <c r="O163" s="92" t="s">
        <v>801</v>
      </c>
      <c r="P163" s="52">
        <v>3308004490</v>
      </c>
      <c r="Q163" s="46"/>
      <c r="R163" s="58" t="str">
        <f>HYPERLINK("https://drive.google.com/open?id=1zZl8vjXrrEEAZ4iFo-y2uTa3hDtRysa4","Договор")</f>
        <v>Договор</v>
      </c>
      <c r="S163" s="22" t="str">
        <f>HYPERLINK("https://drive.google.com/open?id=1Gm2MJvw1sZhhYfOHtChbS7f1iM2EPVjY","Документы")</f>
        <v>Документы</v>
      </c>
      <c r="T163" s="46"/>
      <c r="U163" s="47"/>
    </row>
    <row r="164" spans="1:21" ht="252.75" customHeight="1">
      <c r="A164" s="46">
        <v>156</v>
      </c>
      <c r="B164" s="46" t="s">
        <v>20</v>
      </c>
      <c r="C164" s="46" t="s">
        <v>22</v>
      </c>
      <c r="D164" s="46" t="s">
        <v>21</v>
      </c>
      <c r="E164" s="46" t="s">
        <v>824</v>
      </c>
      <c r="F164" s="48" t="s">
        <v>825</v>
      </c>
      <c r="G164" s="48" t="s">
        <v>826</v>
      </c>
      <c r="H164" s="91" t="s">
        <v>827</v>
      </c>
      <c r="I164" s="79">
        <v>42970</v>
      </c>
      <c r="J164" s="50">
        <v>65293901.509999998</v>
      </c>
      <c r="K164" s="50">
        <v>63335084.450000003</v>
      </c>
      <c r="L164" s="51">
        <v>9.7000000000000003E-3</v>
      </c>
      <c r="M164" s="46" t="s">
        <v>828</v>
      </c>
      <c r="N164" s="48" t="s">
        <v>829</v>
      </c>
      <c r="O164" s="92" t="s">
        <v>830</v>
      </c>
      <c r="P164" s="52">
        <v>7703761192</v>
      </c>
      <c r="Q164" s="46"/>
      <c r="R164" s="58" t="str">
        <f>HYPERLINK("https://drive.google.com/open?id=1QdXdzpTVtv6p8SDlr8NXpYa_1diLqO1e","Договор")</f>
        <v>Договор</v>
      </c>
      <c r="S164" s="22" t="str">
        <f>HYPERLINK("https://drive.google.com/open?id=1QJxSoLtPY_ktlD1k8-jPP23fZStzynbB","Документы")</f>
        <v>Документы</v>
      </c>
      <c r="T164" s="46"/>
      <c r="U164" s="47"/>
    </row>
    <row r="165" spans="1:21" ht="108.75" customHeight="1">
      <c r="A165" s="46">
        <v>157</v>
      </c>
      <c r="B165" s="46" t="s">
        <v>20</v>
      </c>
      <c r="C165" s="46" t="s">
        <v>22</v>
      </c>
      <c r="D165" s="46" t="s">
        <v>21</v>
      </c>
      <c r="E165" s="46" t="s">
        <v>831</v>
      </c>
      <c r="F165" s="48" t="s">
        <v>832</v>
      </c>
      <c r="G165" s="48" t="s">
        <v>833</v>
      </c>
      <c r="H165" s="91" t="s">
        <v>834</v>
      </c>
      <c r="I165" s="79">
        <v>42970</v>
      </c>
      <c r="J165" s="50">
        <v>13094038.140000001</v>
      </c>
      <c r="K165" s="50">
        <v>12832157.380000001</v>
      </c>
      <c r="L165" s="51">
        <v>9.7999999999999997E-3</v>
      </c>
      <c r="M165" s="46" t="s">
        <v>828</v>
      </c>
      <c r="N165" s="48" t="s">
        <v>829</v>
      </c>
      <c r="O165" s="92" t="s">
        <v>830</v>
      </c>
      <c r="P165" s="52">
        <v>7703761192</v>
      </c>
      <c r="Q165" s="46"/>
      <c r="R165" s="58" t="str">
        <f>HYPERLINK("https://drive.google.com/open?id=1WWYJHAYjpW_bRirghUqzwBiGJLWVReih","Договор")</f>
        <v>Договор</v>
      </c>
      <c r="S165" s="22" t="str">
        <f>HYPERLINK("https://drive.google.com/open?id=16Qj3VZ08aEEsEqAL-e25Hg4to0w-CprB","Документы")</f>
        <v>Документы</v>
      </c>
      <c r="T165" s="46"/>
      <c r="U165" s="47"/>
    </row>
    <row r="166" spans="1:21" ht="362.25" customHeight="1">
      <c r="A166" s="46">
        <v>158</v>
      </c>
      <c r="B166" s="46" t="s">
        <v>20</v>
      </c>
      <c r="C166" s="46" t="s">
        <v>22</v>
      </c>
      <c r="D166" s="46" t="s">
        <v>21</v>
      </c>
      <c r="E166" s="46" t="s">
        <v>835</v>
      </c>
      <c r="F166" s="48" t="s">
        <v>836</v>
      </c>
      <c r="G166" s="48" t="s">
        <v>837</v>
      </c>
      <c r="H166" s="91" t="s">
        <v>838</v>
      </c>
      <c r="I166" s="79">
        <v>42970</v>
      </c>
      <c r="J166" s="50">
        <v>64717091.380000003</v>
      </c>
      <c r="K166" s="50">
        <v>63099164.079999998</v>
      </c>
      <c r="L166" s="51">
        <v>9.7000000000000003E-3</v>
      </c>
      <c r="M166" s="46" t="s">
        <v>828</v>
      </c>
      <c r="N166" s="48" t="s">
        <v>829</v>
      </c>
      <c r="O166" s="92" t="s">
        <v>830</v>
      </c>
      <c r="P166" s="52">
        <v>7703761192</v>
      </c>
      <c r="Q166" s="46"/>
      <c r="R166" s="58" t="str">
        <f>HYPERLINK("https://drive.google.com/open?id=133PMkbON33hiuVZB0y-EPWZR9WGdvYyN","Договор")</f>
        <v>Договор</v>
      </c>
      <c r="S166" s="22" t="str">
        <f>HYPERLINK("https://drive.google.com/open?id=1F61a9wDXiSBaM_1DdVQXRb1xXv8l6Qjh","Документы")</f>
        <v>Документы</v>
      </c>
      <c r="T166" s="46"/>
      <c r="U166" s="47"/>
    </row>
    <row r="167" spans="1:21" ht="94.5">
      <c r="A167" s="46">
        <v>159</v>
      </c>
      <c r="B167" s="46" t="s">
        <v>20</v>
      </c>
      <c r="C167" s="46" t="s">
        <v>22</v>
      </c>
      <c r="D167" s="46" t="s">
        <v>21</v>
      </c>
      <c r="E167" s="47" t="s">
        <v>839</v>
      </c>
      <c r="F167" s="48" t="s">
        <v>840</v>
      </c>
      <c r="G167" s="48" t="s">
        <v>841</v>
      </c>
      <c r="H167" s="91" t="s">
        <v>842</v>
      </c>
      <c r="I167" s="48">
        <v>42671</v>
      </c>
      <c r="J167" s="50">
        <v>1394666.15</v>
      </c>
      <c r="K167" s="50">
        <v>1283079.67</v>
      </c>
      <c r="L167" s="51" t="s">
        <v>843</v>
      </c>
      <c r="M167" s="48" t="s">
        <v>844</v>
      </c>
      <c r="N167" s="48" t="s">
        <v>257</v>
      </c>
      <c r="O167" s="46" t="s">
        <v>258</v>
      </c>
      <c r="P167" s="52">
        <v>330700346964</v>
      </c>
      <c r="Q167" s="53"/>
      <c r="R167" s="58" t="str">
        <f>HYPERLINK("https://drive.google.com/open?id=1f-h_AsLKEm2Mfm5kGMVNRfZOlsV_korw","Договор")</f>
        <v>Договор</v>
      </c>
      <c r="S167" s="22" t="str">
        <f>HYPERLINK("https://drive.google.com/open?id=1uKh3hNuFruP1eeLmryZY6ptHcpSidshc","Документы")</f>
        <v>Документы</v>
      </c>
      <c r="T167" s="54"/>
      <c r="U167" s="54"/>
    </row>
    <row r="168" spans="1:21" ht="78.75">
      <c r="A168" s="55">
        <v>160</v>
      </c>
      <c r="B168" s="53" t="s">
        <v>20</v>
      </c>
      <c r="C168" s="53" t="s">
        <v>22</v>
      </c>
      <c r="D168" s="70" t="s">
        <v>21</v>
      </c>
      <c r="E168" s="47" t="s">
        <v>845</v>
      </c>
      <c r="F168" s="39" t="s">
        <v>846</v>
      </c>
      <c r="G168" s="71" t="s">
        <v>847</v>
      </c>
      <c r="H168" s="80" t="s">
        <v>848</v>
      </c>
      <c r="I168" s="73">
        <v>42885</v>
      </c>
      <c r="J168" s="74">
        <v>1546974.17</v>
      </c>
      <c r="K168" s="74">
        <v>1492830.08</v>
      </c>
      <c r="L168" s="81">
        <v>3.5000000000000003E-2</v>
      </c>
      <c r="M168" s="93" t="s">
        <v>599</v>
      </c>
      <c r="N168" s="69" t="s">
        <v>600</v>
      </c>
      <c r="O168" s="71" t="s">
        <v>601</v>
      </c>
      <c r="P168" s="69">
        <v>332903482324</v>
      </c>
      <c r="Q168" s="83"/>
      <c r="R168" s="58" t="str">
        <f>HYPERLINK("https://drive.google.com/open?id=1Hh2GC3FIFXWwPKzmkm3HUK92bq1XCJB3","Договор")</f>
        <v>Договор</v>
      </c>
      <c r="S168" s="22" t="str">
        <f>HYPERLINK("https://drive.google.com/open?id=1fhrZPG3FagbyhEH_aLz_X5OZHaRwvkK4","Документы")</f>
        <v>Документы</v>
      </c>
      <c r="T168" s="84"/>
      <c r="U168" s="84"/>
    </row>
    <row r="169" spans="1:21" ht="94.5">
      <c r="A169" s="46">
        <v>161</v>
      </c>
      <c r="B169" s="46" t="s">
        <v>20</v>
      </c>
      <c r="C169" s="46" t="s">
        <v>22</v>
      </c>
      <c r="D169" s="46" t="s">
        <v>21</v>
      </c>
      <c r="E169" s="46" t="s">
        <v>849</v>
      </c>
      <c r="F169" s="48" t="s">
        <v>850</v>
      </c>
      <c r="G169" s="48" t="s">
        <v>851</v>
      </c>
      <c r="H169" s="90" t="s">
        <v>852</v>
      </c>
      <c r="I169" s="48">
        <v>42671</v>
      </c>
      <c r="J169" s="50">
        <v>1058928.48</v>
      </c>
      <c r="K169" s="50">
        <v>984786.54</v>
      </c>
      <c r="L169" s="51" t="s">
        <v>598</v>
      </c>
      <c r="M169" s="48" t="s">
        <v>853</v>
      </c>
      <c r="N169" s="46" t="s">
        <v>665</v>
      </c>
      <c r="O169" s="53" t="s">
        <v>666</v>
      </c>
      <c r="P169" s="89">
        <v>332600108871</v>
      </c>
      <c r="Q169" s="53"/>
      <c r="R169" s="58" t="str">
        <f>HYPERLINK("https://drive.google.com/open?id=1eOcg37FeQGHdT2in2in19_Iyi5cWax4m","Договор")</f>
        <v>Договор</v>
      </c>
      <c r="S169" s="22" t="str">
        <f>HYPERLINK("https://drive.google.com/open?id=1666bFjvMUPxaftLZhkvWoALWvSZ0EKTu","Документы")</f>
        <v>Документы</v>
      </c>
      <c r="T169" s="55"/>
      <c r="U169" s="55"/>
    </row>
    <row r="170" spans="1:21" ht="94.5">
      <c r="A170" s="46">
        <v>162</v>
      </c>
      <c r="B170" s="46" t="s">
        <v>20</v>
      </c>
      <c r="C170" s="46" t="s">
        <v>22</v>
      </c>
      <c r="D170" s="46" t="s">
        <v>21</v>
      </c>
      <c r="E170" s="46" t="s">
        <v>854</v>
      </c>
      <c r="F170" s="48" t="s">
        <v>855</v>
      </c>
      <c r="G170" s="48" t="s">
        <v>856</v>
      </c>
      <c r="H170" s="90" t="s">
        <v>857</v>
      </c>
      <c r="I170" s="48">
        <v>42671</v>
      </c>
      <c r="J170" s="50">
        <v>293446.73</v>
      </c>
      <c r="K170" s="50">
        <v>270254.14</v>
      </c>
      <c r="L170" s="51" t="s">
        <v>598</v>
      </c>
      <c r="M170" s="48" t="s">
        <v>858</v>
      </c>
      <c r="N170" s="46" t="s">
        <v>665</v>
      </c>
      <c r="O170" s="53" t="s">
        <v>666</v>
      </c>
      <c r="P170" s="89">
        <v>332600108871</v>
      </c>
      <c r="Q170" s="53"/>
      <c r="R170" s="58" t="str">
        <f>HYPERLINK("https://drive.google.com/open?id=1T2fhAOUnbajTjkosQ3QJE6urszbl27SJ","Договор")</f>
        <v>Договор</v>
      </c>
      <c r="S170" s="22" t="str">
        <f>HYPERLINK("https://drive.google.com/open?id=10q749sDsuycw9Re5_jP-4EPneqKq7oaX","Документы")</f>
        <v>Документы</v>
      </c>
      <c r="T170" s="55"/>
      <c r="U170" s="55"/>
    </row>
    <row r="171" spans="1:21" ht="94.5">
      <c r="A171" s="46">
        <v>163</v>
      </c>
      <c r="B171" s="46" t="s">
        <v>20</v>
      </c>
      <c r="C171" s="46" t="s">
        <v>22</v>
      </c>
      <c r="D171" s="46" t="s">
        <v>21</v>
      </c>
      <c r="E171" s="46" t="s">
        <v>859</v>
      </c>
      <c r="F171" s="48" t="s">
        <v>860</v>
      </c>
      <c r="G171" s="48" t="s">
        <v>861</v>
      </c>
      <c r="H171" s="90" t="s">
        <v>862</v>
      </c>
      <c r="I171" s="48">
        <v>42671</v>
      </c>
      <c r="J171" s="50">
        <v>829814.8</v>
      </c>
      <c r="K171" s="50">
        <v>765150.96</v>
      </c>
      <c r="L171" s="51" t="s">
        <v>598</v>
      </c>
      <c r="M171" s="48" t="s">
        <v>863</v>
      </c>
      <c r="N171" s="46" t="s">
        <v>665</v>
      </c>
      <c r="O171" s="53" t="s">
        <v>666</v>
      </c>
      <c r="P171" s="89">
        <v>332600108871</v>
      </c>
      <c r="Q171" s="53"/>
      <c r="R171" s="58" t="str">
        <f>HYPERLINK("https://drive.google.com/open?id=1Bgzz5dRiJYGkDUU8XD-WWh8ccWsqbCG2","Договор")</f>
        <v>Договор</v>
      </c>
      <c r="S171" s="22" t="str">
        <f>HYPERLINK("https://drive.google.com/open?id=1dZXlgbucL7siJhRbtGlfGYCpEXJHjd8J","Документы")</f>
        <v>Документы</v>
      </c>
      <c r="T171" s="55"/>
      <c r="U171" s="54"/>
    </row>
    <row r="172" spans="1:21" ht="94.5">
      <c r="A172" s="46">
        <v>164</v>
      </c>
      <c r="B172" s="46" t="s">
        <v>20</v>
      </c>
      <c r="C172" s="46" t="s">
        <v>22</v>
      </c>
      <c r="D172" s="46" t="s">
        <v>21</v>
      </c>
      <c r="E172" s="46" t="s">
        <v>864</v>
      </c>
      <c r="F172" s="48" t="s">
        <v>865</v>
      </c>
      <c r="G172" s="48" t="s">
        <v>866</v>
      </c>
      <c r="H172" s="90" t="s">
        <v>867</v>
      </c>
      <c r="I172" s="48">
        <v>42671</v>
      </c>
      <c r="J172" s="50">
        <v>809668.94</v>
      </c>
      <c r="K172" s="50">
        <v>747845.64</v>
      </c>
      <c r="L172" s="51" t="s">
        <v>598</v>
      </c>
      <c r="M172" s="48" t="s">
        <v>868</v>
      </c>
      <c r="N172" s="46" t="s">
        <v>665</v>
      </c>
      <c r="O172" s="53" t="s">
        <v>666</v>
      </c>
      <c r="P172" s="89">
        <v>332600108871</v>
      </c>
      <c r="Q172" s="53"/>
      <c r="R172" s="58" t="str">
        <f>HYPERLINK("https://drive.google.com/open?id=1hbA6VeGuxCMs_u_wa5A94jJD1jSji62u","Договор")</f>
        <v>Договор</v>
      </c>
      <c r="S172" s="55"/>
      <c r="T172" s="55"/>
      <c r="U172" s="54"/>
    </row>
    <row r="173" spans="1:21" ht="126">
      <c r="A173" s="46">
        <v>165</v>
      </c>
      <c r="B173" s="46" t="s">
        <v>20</v>
      </c>
      <c r="C173" s="46" t="s">
        <v>22</v>
      </c>
      <c r="D173" s="46" t="s">
        <v>21</v>
      </c>
      <c r="E173" s="46" t="s">
        <v>869</v>
      </c>
      <c r="F173" s="48" t="s">
        <v>870</v>
      </c>
      <c r="G173" s="48" t="s">
        <v>871</v>
      </c>
      <c r="H173" s="90" t="s">
        <v>872</v>
      </c>
      <c r="I173" s="48">
        <v>42884</v>
      </c>
      <c r="J173" s="50">
        <v>6074070.6399999997</v>
      </c>
      <c r="K173" s="50" t="s">
        <v>873</v>
      </c>
      <c r="L173" s="51" t="s">
        <v>874</v>
      </c>
      <c r="M173" s="48" t="s">
        <v>875</v>
      </c>
      <c r="N173" s="46" t="s">
        <v>876</v>
      </c>
      <c r="O173" s="53" t="s">
        <v>877</v>
      </c>
      <c r="P173" s="89">
        <v>3329054260</v>
      </c>
      <c r="Q173" s="53"/>
      <c r="R173" s="58" t="str">
        <f>HYPERLINK("https://drive.google.com/open?id=1BmlqUwvv057M4rM_N0XnHR-cWf_j4jOe","Договор")</f>
        <v>Договор</v>
      </c>
      <c r="S173" s="22" t="str">
        <f>HYPERLINK("https://drive.google.com/open?id=14SRtF1ebwWVg6ubhTn5Gzmm6Y1CcEJ2U","Документы")</f>
        <v>Документы</v>
      </c>
      <c r="T173" s="55"/>
      <c r="U173" s="54"/>
    </row>
    <row r="174" spans="1:21" ht="94.5">
      <c r="A174" s="55">
        <v>166</v>
      </c>
      <c r="B174" s="53" t="s">
        <v>20</v>
      </c>
      <c r="C174" s="53" t="s">
        <v>22</v>
      </c>
      <c r="D174" s="70" t="s">
        <v>21</v>
      </c>
      <c r="E174" s="55">
        <v>15111700005</v>
      </c>
      <c r="F174" s="39" t="s">
        <v>878</v>
      </c>
      <c r="G174" s="53" t="s">
        <v>879</v>
      </c>
      <c r="H174" s="80" t="s">
        <v>880</v>
      </c>
      <c r="I174" s="67">
        <v>42671</v>
      </c>
      <c r="J174" s="50">
        <v>2114604.4500000002</v>
      </c>
      <c r="K174" s="50">
        <v>1921103.37</v>
      </c>
      <c r="L174" s="85" t="s">
        <v>605</v>
      </c>
      <c r="M174" s="53" t="s">
        <v>881</v>
      </c>
      <c r="N174" s="55" t="s">
        <v>607</v>
      </c>
      <c r="O174" s="53" t="s">
        <v>608</v>
      </c>
      <c r="P174" s="55">
        <v>3316002190</v>
      </c>
      <c r="Q174" s="53"/>
      <c r="R174" s="58" t="str">
        <f>HYPERLINK("https://drive.google.com/open?id=1rDuOyLCWTE9WOxGgw28vHUiRkEt1WzxW","Договор")</f>
        <v>Договор</v>
      </c>
      <c r="S174" s="22" t="str">
        <f>HYPERLINK("https://drive.google.com/open?id=1gE03X2Vq86tPFO59GShr1Fc1A3N9ZJJ_","Документы")</f>
        <v>Документы</v>
      </c>
      <c r="T174" s="55"/>
      <c r="U174" s="5"/>
    </row>
    <row r="175" spans="1:21" ht="78.75">
      <c r="A175" s="55">
        <v>167</v>
      </c>
      <c r="B175" s="53" t="s">
        <v>20</v>
      </c>
      <c r="C175" s="53" t="s">
        <v>22</v>
      </c>
      <c r="D175" s="70" t="s">
        <v>21</v>
      </c>
      <c r="E175" s="55">
        <v>9111700013</v>
      </c>
      <c r="F175" s="39" t="s">
        <v>882</v>
      </c>
      <c r="G175" s="53" t="s">
        <v>883</v>
      </c>
      <c r="H175" s="88" t="s">
        <v>884</v>
      </c>
      <c r="I175" s="73">
        <v>42671</v>
      </c>
      <c r="J175" s="50">
        <v>1524533.08</v>
      </c>
      <c r="K175" s="50">
        <v>1364455</v>
      </c>
      <c r="L175" s="85">
        <v>9.6879035331999992E-3</v>
      </c>
      <c r="M175" s="87" t="s">
        <v>885</v>
      </c>
      <c r="N175" s="53" t="s">
        <v>31</v>
      </c>
      <c r="O175" s="53" t="s">
        <v>678</v>
      </c>
      <c r="P175" s="89">
        <v>3304016992</v>
      </c>
      <c r="Q175" s="53"/>
      <c r="R175" s="58" t="str">
        <f>HYPERLINK("https://drive.google.com/open?id=1LnEKoP8g_R6A8zIMIHhN_C2WeJIozKDr","Договор")</f>
        <v>Договор</v>
      </c>
      <c r="S175" s="22" t="str">
        <f>HYPERLINK("https://drive.google.com/open?id=1aXFouFOWEAQ7ESqsEkWYB3kGe3Q02TRK","Документы")</f>
        <v>Документы</v>
      </c>
      <c r="T175" s="55"/>
      <c r="U175" s="5"/>
    </row>
    <row r="176" spans="1:21" ht="94.5">
      <c r="A176" s="55">
        <v>168</v>
      </c>
      <c r="B176" s="53" t="s">
        <v>20</v>
      </c>
      <c r="C176" s="53" t="s">
        <v>22</v>
      </c>
      <c r="D176" s="70" t="s">
        <v>21</v>
      </c>
      <c r="E176" s="55">
        <v>15111700004</v>
      </c>
      <c r="F176" s="39" t="s">
        <v>886</v>
      </c>
      <c r="G176" s="53" t="s">
        <v>887</v>
      </c>
      <c r="H176" s="88" t="s">
        <v>888</v>
      </c>
      <c r="I176" s="79">
        <v>42671</v>
      </c>
      <c r="J176" s="50">
        <v>2144173.7000000002</v>
      </c>
      <c r="K176" s="50">
        <v>1991633.17</v>
      </c>
      <c r="L176" s="85" t="s">
        <v>605</v>
      </c>
      <c r="M176" s="53" t="s">
        <v>889</v>
      </c>
      <c r="N176" s="55" t="s">
        <v>257</v>
      </c>
      <c r="O176" s="53" t="s">
        <v>594</v>
      </c>
      <c r="P176" s="55">
        <v>330700346964</v>
      </c>
      <c r="Q176" s="77"/>
      <c r="R176" s="58" t="str">
        <f>HYPERLINK("https://drive.google.com/open?id=1V4N24O1L8iMV3FbbtWXF0L0qVdcYaNXi","Договор")</f>
        <v>Договор</v>
      </c>
      <c r="S176" s="22" t="str">
        <f>HYPERLINK("https://drive.google.com/open?id=18FfZHHOgg-M_XvV8LhQsm4SNRAeNtcmc","Документы")</f>
        <v>Документы</v>
      </c>
      <c r="T176" s="78"/>
      <c r="U176" s="5"/>
    </row>
    <row r="177" spans="1:21" ht="110.25">
      <c r="A177" s="46">
        <v>169</v>
      </c>
      <c r="B177" s="46" t="s">
        <v>20</v>
      </c>
      <c r="C177" s="46" t="s">
        <v>22</v>
      </c>
      <c r="D177" s="46" t="s">
        <v>21</v>
      </c>
      <c r="E177" s="46" t="s">
        <v>891</v>
      </c>
      <c r="F177" s="48" t="s">
        <v>892</v>
      </c>
      <c r="G177" s="48" t="s">
        <v>893</v>
      </c>
      <c r="H177" s="90" t="s">
        <v>894</v>
      </c>
      <c r="I177" s="48">
        <v>42671</v>
      </c>
      <c r="J177" s="50">
        <v>223446.94</v>
      </c>
      <c r="K177" s="50">
        <v>207876.89</v>
      </c>
      <c r="L177" s="51" t="s">
        <v>598</v>
      </c>
      <c r="M177" s="48" t="s">
        <v>895</v>
      </c>
      <c r="N177" s="46" t="s">
        <v>665</v>
      </c>
      <c r="O177" s="53" t="s">
        <v>666</v>
      </c>
      <c r="P177" s="89">
        <v>332600108871</v>
      </c>
      <c r="Q177" s="53"/>
      <c r="R177" s="58" t="str">
        <f>HYPERLINK("https://drive.google.com/open?id=15dIZdiIa7WdovYSmU7fXlJQNNfk5rZde","Договор")</f>
        <v>Договор</v>
      </c>
      <c r="S177" s="22" t="str">
        <f>HYPERLINK("https://drive.google.com/open?id=1yyoe1zp5X98NgKtO-j5cfiQABjpwb5mR","Документы")</f>
        <v>Документы</v>
      </c>
      <c r="T177" s="55"/>
      <c r="U177" s="5"/>
    </row>
    <row r="178" spans="1:21" ht="78.75">
      <c r="A178" s="46">
        <v>170</v>
      </c>
      <c r="B178" s="46" t="s">
        <v>20</v>
      </c>
      <c r="C178" s="46" t="s">
        <v>22</v>
      </c>
      <c r="D178" s="46" t="s">
        <v>21</v>
      </c>
      <c r="E178" s="46" t="s">
        <v>896</v>
      </c>
      <c r="F178" s="48" t="s">
        <v>897</v>
      </c>
      <c r="G178" s="48" t="s">
        <v>898</v>
      </c>
      <c r="H178" s="90" t="s">
        <v>899</v>
      </c>
      <c r="I178" s="48">
        <v>42671</v>
      </c>
      <c r="J178" s="50">
        <v>110417.34</v>
      </c>
      <c r="K178" s="50">
        <v>100719.76</v>
      </c>
      <c r="L178" s="51" t="s">
        <v>598</v>
      </c>
      <c r="M178" s="48" t="s">
        <v>900</v>
      </c>
      <c r="N178" s="46" t="s">
        <v>665</v>
      </c>
      <c r="O178" s="53" t="s">
        <v>666</v>
      </c>
      <c r="P178" s="89">
        <v>332600108871</v>
      </c>
      <c r="Q178" s="53"/>
      <c r="R178" s="58" t="str">
        <f>HYPERLINK("https://drive.google.com/open?id=1Iq-taUK-3-Lwlkipg9rM92ow5bbVt9W2","Договор")</f>
        <v>Договор</v>
      </c>
      <c r="S178" s="22" t="str">
        <f>HYPERLINK("https://drive.google.com/open?id=1AoOCYtRaLHDBgS9UDhnlz-lYxaraHnvG","Документы")</f>
        <v>Документы</v>
      </c>
      <c r="T178" s="55"/>
      <c r="U178" s="5"/>
    </row>
    <row r="179" spans="1:21" ht="110.25">
      <c r="A179" s="46">
        <v>171</v>
      </c>
      <c r="B179" s="46" t="s">
        <v>20</v>
      </c>
      <c r="C179" s="46" t="s">
        <v>22</v>
      </c>
      <c r="D179" s="46" t="s">
        <v>21</v>
      </c>
      <c r="E179" s="46" t="s">
        <v>901</v>
      </c>
      <c r="F179" s="48" t="s">
        <v>902</v>
      </c>
      <c r="G179" s="48" t="s">
        <v>903</v>
      </c>
      <c r="H179" s="90" t="s">
        <v>904</v>
      </c>
      <c r="I179" s="48">
        <v>42793</v>
      </c>
      <c r="J179" s="50">
        <v>2383663.9300000002</v>
      </c>
      <c r="K179" s="50">
        <v>2151155.08</v>
      </c>
      <c r="L179" s="51" t="s">
        <v>598</v>
      </c>
      <c r="M179" s="48" t="s">
        <v>905</v>
      </c>
      <c r="N179" s="46" t="s">
        <v>906</v>
      </c>
      <c r="O179" s="53" t="s">
        <v>907</v>
      </c>
      <c r="P179" s="89">
        <v>3301013986</v>
      </c>
      <c r="Q179" s="53"/>
      <c r="R179" s="58" t="str">
        <f>HYPERLINK("https://drive.google.com/open?id=1wzVsPJhIsi0lloTHdF6PLZep5aclm59u","Договор")</f>
        <v>Договор</v>
      </c>
      <c r="S179" s="22" t="str">
        <f>HYPERLINK("https://drive.google.com/open?id=1oyrjt2XDLmBHJBTUAyw_eXUxCOIEY-je","Документы")</f>
        <v>Документы</v>
      </c>
      <c r="T179" s="55"/>
      <c r="U179" s="5"/>
    </row>
    <row r="180" spans="1:21" ht="150">
      <c r="A180" s="55">
        <v>172</v>
      </c>
      <c r="B180" s="53" t="s">
        <v>20</v>
      </c>
      <c r="C180" s="53" t="s">
        <v>22</v>
      </c>
      <c r="D180" s="70" t="s">
        <v>21</v>
      </c>
      <c r="E180" s="46" t="s">
        <v>908</v>
      </c>
      <c r="F180" s="39" t="s">
        <v>909</v>
      </c>
      <c r="G180" s="53" t="s">
        <v>910</v>
      </c>
      <c r="H180" s="88" t="s">
        <v>911</v>
      </c>
      <c r="I180" s="73">
        <v>42884</v>
      </c>
      <c r="J180" s="50">
        <v>1375519.36</v>
      </c>
      <c r="K180" s="50">
        <v>1263203.51</v>
      </c>
      <c r="L180" s="51" t="s">
        <v>598</v>
      </c>
      <c r="M180" s="87" t="s">
        <v>912</v>
      </c>
      <c r="N180" s="53" t="s">
        <v>672</v>
      </c>
      <c r="O180" s="53" t="s">
        <v>673</v>
      </c>
      <c r="P180" s="89">
        <v>3305709894</v>
      </c>
      <c r="Q180" s="53"/>
      <c r="R180" s="58" t="str">
        <f>HYPERLINK("https://drive.google.com/open?id=1yxT2Mq0BkgEsn6AW_s3Wy7ePGsLbL4fL","Договор")</f>
        <v>Договор</v>
      </c>
      <c r="S180" s="55"/>
      <c r="T180" s="55"/>
      <c r="U180" s="5"/>
    </row>
    <row r="181" spans="1:21" ht="165">
      <c r="A181" s="55">
        <v>173</v>
      </c>
      <c r="B181" s="53" t="s">
        <v>20</v>
      </c>
      <c r="C181" s="53" t="s">
        <v>22</v>
      </c>
      <c r="D181" s="70" t="s">
        <v>21</v>
      </c>
      <c r="E181" s="46" t="s">
        <v>913</v>
      </c>
      <c r="F181" s="39" t="s">
        <v>914</v>
      </c>
      <c r="G181" s="53" t="s">
        <v>915</v>
      </c>
      <c r="H181" s="88" t="s">
        <v>916</v>
      </c>
      <c r="I181" s="73">
        <v>42884</v>
      </c>
      <c r="J181" s="50">
        <v>1399976.05</v>
      </c>
      <c r="K181" s="50">
        <v>1284985.42</v>
      </c>
      <c r="L181" s="51" t="s">
        <v>598</v>
      </c>
      <c r="M181" s="87" t="s">
        <v>917</v>
      </c>
      <c r="N181" s="53" t="s">
        <v>672</v>
      </c>
      <c r="O181" s="53" t="s">
        <v>673</v>
      </c>
      <c r="P181" s="89">
        <v>3305709894</v>
      </c>
      <c r="Q181" s="53"/>
      <c r="R181" s="58" t="str">
        <f>HYPERLINK("https://drive.google.com/open?id=1DHh4KHw02rqoYpkh48My5-Ry0uhKQtH9","Договор")</f>
        <v>Договор</v>
      </c>
      <c r="S181" s="55"/>
      <c r="T181" s="55"/>
      <c r="U181" s="5"/>
    </row>
    <row r="182" spans="1:21" ht="150">
      <c r="A182" s="55">
        <v>174</v>
      </c>
      <c r="B182" s="53" t="s">
        <v>20</v>
      </c>
      <c r="C182" s="53" t="s">
        <v>22</v>
      </c>
      <c r="D182" s="70" t="s">
        <v>21</v>
      </c>
      <c r="E182" s="46" t="s">
        <v>918</v>
      </c>
      <c r="F182" s="39" t="s">
        <v>919</v>
      </c>
      <c r="G182" s="53" t="s">
        <v>920</v>
      </c>
      <c r="H182" s="88" t="s">
        <v>921</v>
      </c>
      <c r="I182" s="73">
        <v>42884</v>
      </c>
      <c r="J182" s="50">
        <v>1320899.23</v>
      </c>
      <c r="K182" s="50">
        <v>1216070.3500000001</v>
      </c>
      <c r="L182" s="51" t="s">
        <v>598</v>
      </c>
      <c r="M182" s="87" t="s">
        <v>922</v>
      </c>
      <c r="N182" s="53" t="s">
        <v>672</v>
      </c>
      <c r="O182" s="53" t="s">
        <v>673</v>
      </c>
      <c r="P182" s="89">
        <v>3305709894</v>
      </c>
      <c r="Q182" s="53"/>
      <c r="R182" s="58" t="str">
        <f>HYPERLINK("https://drive.google.com/open?id=1d7-NmORXUkr0drT9jgVElJRpA7v7tbFg","Договор")</f>
        <v>Договор</v>
      </c>
      <c r="S182" s="55"/>
      <c r="T182" s="55"/>
      <c r="U182" s="5"/>
    </row>
    <row r="183" spans="1:21" ht="150">
      <c r="A183" s="55">
        <v>175</v>
      </c>
      <c r="B183" s="53" t="s">
        <v>20</v>
      </c>
      <c r="C183" s="53" t="s">
        <v>22</v>
      </c>
      <c r="D183" s="70" t="s">
        <v>21</v>
      </c>
      <c r="E183" s="46" t="s">
        <v>923</v>
      </c>
      <c r="F183" s="39" t="s">
        <v>924</v>
      </c>
      <c r="G183" s="53" t="s">
        <v>925</v>
      </c>
      <c r="H183" s="88" t="s">
        <v>926</v>
      </c>
      <c r="I183" s="73">
        <v>42884</v>
      </c>
      <c r="J183" s="50">
        <v>697555.94</v>
      </c>
      <c r="K183" s="50">
        <v>639673.48</v>
      </c>
      <c r="L183" s="51" t="s">
        <v>598</v>
      </c>
      <c r="M183" s="87" t="s">
        <v>927</v>
      </c>
      <c r="N183" s="53" t="s">
        <v>672</v>
      </c>
      <c r="O183" s="53" t="s">
        <v>673</v>
      </c>
      <c r="P183" s="89">
        <v>3305709894</v>
      </c>
      <c r="Q183" s="53"/>
      <c r="R183" s="58" t="str">
        <f>HYPERLINK("https://drive.google.com/open?id=1y5XIzVovEQQ_W8dL0sqREywUi0bdVbSa","Договор")</f>
        <v>Договор</v>
      </c>
      <c r="S183" s="55"/>
      <c r="T183" s="55"/>
      <c r="U183" s="5"/>
    </row>
    <row r="184" spans="1:21" ht="110.25">
      <c r="A184" s="46">
        <v>171</v>
      </c>
      <c r="B184" s="46" t="s">
        <v>20</v>
      </c>
      <c r="C184" s="46" t="s">
        <v>22</v>
      </c>
      <c r="D184" s="46" t="s">
        <v>21</v>
      </c>
      <c r="E184" s="46" t="s">
        <v>928</v>
      </c>
      <c r="F184" s="48" t="s">
        <v>929</v>
      </c>
      <c r="G184" s="48" t="s">
        <v>930</v>
      </c>
      <c r="H184" s="90" t="s">
        <v>931</v>
      </c>
      <c r="I184" s="48">
        <v>42793</v>
      </c>
      <c r="J184" s="50">
        <v>1683714.8</v>
      </c>
      <c r="K184" s="50"/>
      <c r="L184" s="51" t="s">
        <v>598</v>
      </c>
      <c r="M184" s="48" t="s">
        <v>932</v>
      </c>
      <c r="N184" s="46" t="s">
        <v>906</v>
      </c>
      <c r="O184" s="53" t="s">
        <v>907</v>
      </c>
      <c r="P184" s="89">
        <v>3301013986</v>
      </c>
      <c r="Q184" s="53"/>
      <c r="R184" s="58" t="str">
        <f>HYPERLINK("https://drive.google.com/open?id=1jL5MHFE-kLLrJygJ9Mzen59wZv57r_Kk","Договор")</f>
        <v>Договор</v>
      </c>
      <c r="S184" s="22" t="str">
        <f>HYPERLINK("https://drive.google.com/open?id=10mvixsyuDyIGga8n0ZLjG0n8uFWgt5RN","Документы")</f>
        <v>Документы</v>
      </c>
      <c r="T184" s="55"/>
      <c r="U184" s="5"/>
    </row>
    <row r="185" spans="1:21" ht="78.75" customHeight="1">
      <c r="A185" s="46">
        <v>172</v>
      </c>
      <c r="B185" s="46" t="s">
        <v>20</v>
      </c>
      <c r="C185" s="46" t="s">
        <v>22</v>
      </c>
      <c r="D185" s="60" t="s">
        <v>21</v>
      </c>
      <c r="E185" s="60" t="s">
        <v>933</v>
      </c>
      <c r="F185" s="61" t="s">
        <v>934</v>
      </c>
      <c r="G185" s="61" t="s">
        <v>935</v>
      </c>
      <c r="H185" s="88" t="s">
        <v>936</v>
      </c>
      <c r="I185" s="61">
        <v>42793</v>
      </c>
      <c r="J185" s="63">
        <v>839429.83</v>
      </c>
      <c r="K185" s="63">
        <v>773243.31</v>
      </c>
      <c r="L185" s="51" t="s">
        <v>598</v>
      </c>
      <c r="M185" s="61" t="s">
        <v>937</v>
      </c>
      <c r="N185" s="61" t="s">
        <v>61</v>
      </c>
      <c r="O185" s="60" t="s">
        <v>62</v>
      </c>
      <c r="P185" s="65">
        <v>7715645930</v>
      </c>
      <c r="Q185" s="53" t="s">
        <v>938</v>
      </c>
      <c r="R185" s="58" t="str">
        <f>HYPERLINK("https://drive.google.com/open?id=1LdvqW7c0PqQZuZzVl-ze3Zves8HaitVS","Договор")</f>
        <v>Договор</v>
      </c>
      <c r="S185" s="22" t="str">
        <f>HYPERLINK("https://drive.google.com/open?id=1vj6I-cJ_upN6F4xvKfaR_3oqY21YVTh2","Документы")</f>
        <v>Документы</v>
      </c>
      <c r="T185" s="54"/>
      <c r="U185" s="5"/>
    </row>
    <row r="186" spans="1:21" ht="90">
      <c r="A186" s="46">
        <v>173</v>
      </c>
      <c r="B186" s="46" t="s">
        <v>20</v>
      </c>
      <c r="C186" s="46" t="s">
        <v>22</v>
      </c>
      <c r="D186" s="60" t="s">
        <v>21</v>
      </c>
      <c r="E186" s="60" t="s">
        <v>972</v>
      </c>
      <c r="F186" s="61" t="s">
        <v>973</v>
      </c>
      <c r="G186" s="61" t="s">
        <v>974</v>
      </c>
      <c r="H186" s="80" t="s">
        <v>685</v>
      </c>
      <c r="I186" s="61">
        <v>42970</v>
      </c>
      <c r="J186" s="63">
        <v>3736408.62</v>
      </c>
      <c r="K186" s="63">
        <v>3437495.98</v>
      </c>
      <c r="L186" s="51">
        <v>9.2000001327000001E-3</v>
      </c>
      <c r="M186" s="61" t="s">
        <v>828</v>
      </c>
      <c r="N186" s="61" t="s">
        <v>829</v>
      </c>
      <c r="O186" s="60" t="s">
        <v>830</v>
      </c>
      <c r="P186" s="65">
        <v>7703761192</v>
      </c>
      <c r="Q186" s="53"/>
      <c r="R186" s="58" t="str">
        <f>HYPERLINK("https://drive.google.com/open?id=17TddxFjy_Xnggzwp4tvXggAcfO6P_zPX","Договор")</f>
        <v>Договор</v>
      </c>
      <c r="S186" s="22" t="str">
        <f>HYPERLINK("https://drive.google.com/open?id=18VkHpTS_520H3qXZ1URWjgfrXwCBnqDF","Документы")</f>
        <v>Документы</v>
      </c>
      <c r="T186" s="5"/>
      <c r="U186" s="5"/>
    </row>
    <row r="187" spans="1:21" ht="105">
      <c r="A187" s="46">
        <v>174</v>
      </c>
      <c r="B187" s="46" t="s">
        <v>20</v>
      </c>
      <c r="C187" s="46" t="s">
        <v>22</v>
      </c>
      <c r="D187" s="60" t="s">
        <v>21</v>
      </c>
      <c r="E187" s="60" t="s">
        <v>939</v>
      </c>
      <c r="F187" s="61" t="s">
        <v>940</v>
      </c>
      <c r="G187" s="61" t="s">
        <v>941</v>
      </c>
      <c r="H187" s="80" t="s">
        <v>691</v>
      </c>
      <c r="I187" s="61">
        <v>42970</v>
      </c>
      <c r="J187" s="63">
        <v>3569505.36</v>
      </c>
      <c r="K187" s="63">
        <v>3515962.77</v>
      </c>
      <c r="L187" s="51">
        <v>9.8499999730999998E-3</v>
      </c>
      <c r="M187" s="61" t="s">
        <v>828</v>
      </c>
      <c r="N187" s="61" t="s">
        <v>829</v>
      </c>
      <c r="O187" s="60" t="s">
        <v>830</v>
      </c>
      <c r="P187" s="65">
        <v>7703761192</v>
      </c>
      <c r="Q187" s="53"/>
      <c r="R187" s="58" t="str">
        <f>HYPERLINK("https://drive.google.com/open?id=1nmIbjh73I1AeCkvPJI0W8jRH67VErYiJ","Договор")</f>
        <v>Договор</v>
      </c>
      <c r="S187" s="22" t="str">
        <f>HYPERLINK("https://drive.google.com/open?id=1eooClI9WmYCNaSK94q4sPq9qOcxhTrBw","Документы")</f>
        <v>Документы</v>
      </c>
      <c r="T187" s="5"/>
      <c r="U187" s="5"/>
    </row>
    <row r="188" spans="1:21" ht="94.5">
      <c r="A188" s="46">
        <v>175</v>
      </c>
      <c r="B188" s="46" t="s">
        <v>20</v>
      </c>
      <c r="C188" s="46" t="s">
        <v>22</v>
      </c>
      <c r="D188" s="46" t="s">
        <v>21</v>
      </c>
      <c r="E188" s="47" t="s">
        <v>942</v>
      </c>
      <c r="F188" s="48" t="s">
        <v>943</v>
      </c>
      <c r="G188" s="48" t="s">
        <v>944</v>
      </c>
      <c r="H188" s="90" t="s">
        <v>945</v>
      </c>
      <c r="I188" s="48">
        <v>42885</v>
      </c>
      <c r="J188" s="50">
        <v>1659304.06</v>
      </c>
      <c r="K188" s="50">
        <v>1659304.06</v>
      </c>
      <c r="L188" s="51">
        <v>0</v>
      </c>
      <c r="M188" s="48" t="s">
        <v>946</v>
      </c>
      <c r="N188" s="46" t="s">
        <v>442</v>
      </c>
      <c r="O188" s="46" t="s">
        <v>443</v>
      </c>
      <c r="P188" s="56">
        <v>3525161388</v>
      </c>
      <c r="Q188" s="53"/>
      <c r="R188" s="58" t="str">
        <f>HYPERLINK("https://drive.google.com/open?id=16mYiLvg_EyRtHIHaPiTh0U8NgOGNOa-x","Договор")</f>
        <v>Договор</v>
      </c>
      <c r="S188" s="54"/>
      <c r="T188" s="5"/>
      <c r="U188" s="5"/>
    </row>
    <row r="189" spans="1:21" ht="94.5">
      <c r="A189" s="46">
        <v>176</v>
      </c>
      <c r="B189" s="46" t="s">
        <v>20</v>
      </c>
      <c r="C189" s="46" t="s">
        <v>22</v>
      </c>
      <c r="D189" s="46" t="s">
        <v>21</v>
      </c>
      <c r="E189" s="47" t="s">
        <v>947</v>
      </c>
      <c r="F189" s="48" t="s">
        <v>948</v>
      </c>
      <c r="G189" s="48" t="s">
        <v>949</v>
      </c>
      <c r="H189" s="90" t="s">
        <v>950</v>
      </c>
      <c r="I189" s="48">
        <v>42885</v>
      </c>
      <c r="J189" s="50">
        <v>1475908.69</v>
      </c>
      <c r="K189" s="50">
        <v>1475908.69</v>
      </c>
      <c r="L189" s="51">
        <v>0</v>
      </c>
      <c r="M189" s="48" t="s">
        <v>951</v>
      </c>
      <c r="N189" s="46" t="s">
        <v>442</v>
      </c>
      <c r="O189" s="46" t="s">
        <v>443</v>
      </c>
      <c r="P189" s="56">
        <v>3525161388</v>
      </c>
      <c r="Q189" s="53"/>
      <c r="R189" s="58" t="str">
        <f>HYPERLINK("https://drive.google.com/open?id=1614L3obAQ5nr_CqhV4TKV-IywHf1g8cR","Договор")</f>
        <v>Договор</v>
      </c>
      <c r="S189" s="22" t="str">
        <f>HYPERLINK("https://drive.google.com/open?id=1liQ-jAQYYwgwUi6JUuYHcvcYaC9nioaP","Документы")</f>
        <v>Документы</v>
      </c>
      <c r="T189" s="5"/>
      <c r="U189" s="5"/>
    </row>
    <row r="190" spans="1:21" ht="94.5">
      <c r="A190" s="46">
        <v>177</v>
      </c>
      <c r="B190" s="46" t="s">
        <v>20</v>
      </c>
      <c r="C190" s="46" t="s">
        <v>22</v>
      </c>
      <c r="D190" s="46" t="s">
        <v>21</v>
      </c>
      <c r="E190" s="47" t="s">
        <v>952</v>
      </c>
      <c r="F190" s="48" t="s">
        <v>953</v>
      </c>
      <c r="G190" s="48" t="s">
        <v>954</v>
      </c>
      <c r="H190" s="90" t="s">
        <v>955</v>
      </c>
      <c r="I190" s="48">
        <v>42885</v>
      </c>
      <c r="J190" s="50">
        <v>3477892.19</v>
      </c>
      <c r="K190" s="50">
        <v>3477892.19</v>
      </c>
      <c r="L190" s="51">
        <v>0</v>
      </c>
      <c r="M190" s="48" t="s">
        <v>956</v>
      </c>
      <c r="N190" s="46" t="s">
        <v>442</v>
      </c>
      <c r="O190" s="46" t="s">
        <v>443</v>
      </c>
      <c r="P190" s="56">
        <v>3525161388</v>
      </c>
      <c r="Q190" s="53"/>
      <c r="R190" s="58" t="str">
        <f>HYPERLINK("https://drive.google.com/open?id=1Fbh20RsLcm00_5nnrntBtiwIvZbGhHxT","Договор")</f>
        <v>Договор</v>
      </c>
      <c r="S190" s="54"/>
      <c r="T190" s="5"/>
      <c r="U190" s="5"/>
    </row>
    <row r="191" spans="1:21" ht="94.5">
      <c r="A191" s="46">
        <v>178</v>
      </c>
      <c r="B191" s="46" t="s">
        <v>20</v>
      </c>
      <c r="C191" s="46" t="s">
        <v>22</v>
      </c>
      <c r="D191" s="46" t="s">
        <v>21</v>
      </c>
      <c r="E191" s="47" t="s">
        <v>957</v>
      </c>
      <c r="F191" s="48" t="s">
        <v>958</v>
      </c>
      <c r="G191" s="48" t="s">
        <v>959</v>
      </c>
      <c r="H191" s="90" t="s">
        <v>960</v>
      </c>
      <c r="I191" s="48">
        <v>42885</v>
      </c>
      <c r="J191" s="50">
        <v>3800046.86</v>
      </c>
      <c r="K191" s="50">
        <v>3800046.86</v>
      </c>
      <c r="L191" s="51">
        <v>0</v>
      </c>
      <c r="M191" s="48" t="s">
        <v>961</v>
      </c>
      <c r="N191" s="46" t="s">
        <v>442</v>
      </c>
      <c r="O191" s="46" t="s">
        <v>443</v>
      </c>
      <c r="P191" s="56">
        <v>3525161388</v>
      </c>
      <c r="Q191" s="53"/>
      <c r="R191" s="58" t="str">
        <f>HYPERLINK("https://drive.google.com/open?id=12A7xkn5um3NCO2u23_yzdUsfIav9hVoR","Договор")</f>
        <v>Договор</v>
      </c>
      <c r="S191" s="54"/>
      <c r="T191" s="5"/>
      <c r="U191" s="5"/>
    </row>
    <row r="192" spans="1:21" ht="94.5">
      <c r="A192" s="46">
        <v>179</v>
      </c>
      <c r="B192" s="46" t="s">
        <v>20</v>
      </c>
      <c r="C192" s="46" t="s">
        <v>22</v>
      </c>
      <c r="D192" s="46" t="s">
        <v>21</v>
      </c>
      <c r="E192" s="47" t="s">
        <v>962</v>
      </c>
      <c r="F192" s="48" t="s">
        <v>963</v>
      </c>
      <c r="G192" s="48" t="s">
        <v>964</v>
      </c>
      <c r="H192" s="90" t="s">
        <v>965</v>
      </c>
      <c r="I192" s="73">
        <v>42884</v>
      </c>
      <c r="J192" s="50">
        <v>2092772.23</v>
      </c>
      <c r="K192" s="50">
        <v>1945994.51</v>
      </c>
      <c r="L192" s="51" t="s">
        <v>598</v>
      </c>
      <c r="M192" s="87" t="s">
        <v>966</v>
      </c>
      <c r="N192" s="53" t="s">
        <v>672</v>
      </c>
      <c r="O192" s="53" t="s">
        <v>673</v>
      </c>
      <c r="P192" s="89">
        <v>3305709894</v>
      </c>
      <c r="Q192" s="53"/>
      <c r="R192" s="58" t="str">
        <f>HYPERLINK("https://drive.google.com/open?id=1L8F0j9Ul2FTrt_6HQKmwe0B3R8w3BTNB","Договор")</f>
        <v>Договор</v>
      </c>
      <c r="S192" s="55"/>
      <c r="T192" s="5"/>
      <c r="U192" s="5"/>
    </row>
    <row r="193" spans="1:21" ht="94.5">
      <c r="A193" s="46">
        <v>180</v>
      </c>
      <c r="B193" s="46" t="s">
        <v>20</v>
      </c>
      <c r="C193" s="46" t="s">
        <v>22</v>
      </c>
      <c r="D193" s="46" t="s">
        <v>21</v>
      </c>
      <c r="E193" s="47" t="s">
        <v>967</v>
      </c>
      <c r="F193" s="48" t="s">
        <v>968</v>
      </c>
      <c r="G193" s="48" t="s">
        <v>975</v>
      </c>
      <c r="H193" s="90" t="s">
        <v>969</v>
      </c>
      <c r="I193" s="79">
        <v>42793</v>
      </c>
      <c r="J193" s="50">
        <v>1439324.42</v>
      </c>
      <c r="K193" s="94" t="s">
        <v>970</v>
      </c>
      <c r="L193" s="51" t="s">
        <v>598</v>
      </c>
      <c r="M193" s="92" t="s">
        <v>971</v>
      </c>
      <c r="N193" s="48" t="s">
        <v>513</v>
      </c>
      <c r="O193" s="92" t="s">
        <v>801</v>
      </c>
      <c r="P193" s="52">
        <v>3308004490</v>
      </c>
      <c r="Q193" s="46"/>
      <c r="R193" s="58" t="str">
        <f>HYPERLINK("https://drive.google.com/open?id=1VQrj4wELVrrCaBbBeKkJRrU5ERp_ZGij","Договор")</f>
        <v>Договор</v>
      </c>
      <c r="S193" s="22" t="str">
        <f>HYPERLINK("https://drive.google.com/open?id=1B-8wcaoaGO1h5aA68BAQBgbWvpwufTD-","Документы")</f>
        <v>Документы</v>
      </c>
      <c r="T193" s="5"/>
      <c r="U193" s="5"/>
    </row>
    <row r="194" spans="1:21" ht="94.5">
      <c r="A194" s="46">
        <v>181</v>
      </c>
      <c r="B194" s="46" t="s">
        <v>20</v>
      </c>
      <c r="C194" s="46" t="s">
        <v>22</v>
      </c>
      <c r="D194" s="46" t="s">
        <v>21</v>
      </c>
      <c r="E194" s="47" t="s">
        <v>976</v>
      </c>
      <c r="F194" s="48" t="s">
        <v>977</v>
      </c>
      <c r="G194" s="48" t="s">
        <v>1040</v>
      </c>
      <c r="H194" s="90" t="s">
        <v>978</v>
      </c>
      <c r="I194" s="79">
        <v>42671</v>
      </c>
      <c r="J194" s="50">
        <v>165356.75</v>
      </c>
      <c r="K194" s="95">
        <v>142642.04</v>
      </c>
      <c r="L194" s="51" t="s">
        <v>598</v>
      </c>
      <c r="M194" s="92" t="s">
        <v>979</v>
      </c>
      <c r="N194" s="46" t="s">
        <v>18</v>
      </c>
      <c r="O194" s="46" t="s">
        <v>19</v>
      </c>
      <c r="P194" s="56">
        <v>332600108871</v>
      </c>
      <c r="Q194" s="46"/>
      <c r="R194" s="58" t="str">
        <f>HYPERLINK("https://drive.google.com/open?id=1pgi2ucnvu-7ZhF2VaAhrOoTb2RVeT1SL","Договор")</f>
        <v>Договор</v>
      </c>
      <c r="S194" s="46"/>
      <c r="T194" s="46"/>
      <c r="U194" s="5"/>
    </row>
    <row r="195" spans="1:21" ht="94.5">
      <c r="A195" s="46">
        <v>182</v>
      </c>
      <c r="B195" s="46" t="s">
        <v>20</v>
      </c>
      <c r="C195" s="46" t="s">
        <v>22</v>
      </c>
      <c r="D195" s="46" t="s">
        <v>21</v>
      </c>
      <c r="E195" s="47" t="s">
        <v>980</v>
      </c>
      <c r="F195" s="48" t="s">
        <v>981</v>
      </c>
      <c r="G195" s="48" t="s">
        <v>982</v>
      </c>
      <c r="H195" s="90" t="s">
        <v>983</v>
      </c>
      <c r="I195" s="61">
        <v>42779</v>
      </c>
      <c r="J195" s="63">
        <v>1704007.95</v>
      </c>
      <c r="K195" s="63"/>
      <c r="L195" s="51">
        <v>0</v>
      </c>
      <c r="M195" s="48" t="s">
        <v>265</v>
      </c>
      <c r="N195" s="46" t="s">
        <v>494</v>
      </c>
      <c r="O195" s="46" t="s">
        <v>495</v>
      </c>
      <c r="P195" s="56">
        <v>3328401520</v>
      </c>
      <c r="Q195" s="46"/>
      <c r="R195" s="58" t="str">
        <f>HYPERLINK("https://drive.google.com/open?id=1I-VYzAAn3ssw5kz0LBHs0tVdr1se5PqR","Договор")</f>
        <v>Договор</v>
      </c>
      <c r="S195" s="22" t="str">
        <f>HYPERLINK("https://drive.google.com/open?id=1s-3zZ-UiRGK3WDClBwqPZ4rB98-WP_OL","Документы")</f>
        <v>Документы</v>
      </c>
      <c r="T195" s="46"/>
      <c r="U195" s="5"/>
    </row>
    <row r="196" spans="1:21" ht="94.5">
      <c r="A196" s="46">
        <v>183</v>
      </c>
      <c r="B196" s="46" t="s">
        <v>20</v>
      </c>
      <c r="C196" s="46" t="s">
        <v>22</v>
      </c>
      <c r="D196" s="46" t="s">
        <v>21</v>
      </c>
      <c r="E196" s="47" t="s">
        <v>984</v>
      </c>
      <c r="F196" s="48" t="s">
        <v>985</v>
      </c>
      <c r="G196" s="48" t="s">
        <v>986</v>
      </c>
      <c r="H196" s="90" t="s">
        <v>987</v>
      </c>
      <c r="I196" s="48">
        <v>42779</v>
      </c>
      <c r="J196" s="50">
        <v>1285812.3400000001</v>
      </c>
      <c r="K196" s="97">
        <v>1089671.45</v>
      </c>
      <c r="L196" s="51"/>
      <c r="M196" s="48" t="s">
        <v>988</v>
      </c>
      <c r="N196" s="48" t="s">
        <v>173</v>
      </c>
      <c r="O196" s="46" t="s">
        <v>174</v>
      </c>
      <c r="P196" s="52">
        <v>4345265453</v>
      </c>
      <c r="Q196" s="53" t="s">
        <v>1104</v>
      </c>
      <c r="R196" s="58" t="str">
        <f>HYPERLINK("https://drive.google.com/open?id=1_GZIxYHaVOMNVRPuanlYvc_ylAQZDuJ2","Договор")</f>
        <v>Договор</v>
      </c>
      <c r="S196" s="22" t="str">
        <f>HYPERLINK("https://drive.google.com/open?id=1hy7aaGuJrTjQllRqleTNevjKgGpjwhK-","Документы")</f>
        <v>Документы</v>
      </c>
      <c r="T196" s="46"/>
      <c r="U196" s="5"/>
    </row>
    <row r="197" spans="1:21" ht="94.5">
      <c r="A197" s="46">
        <v>184</v>
      </c>
      <c r="B197" s="46" t="s">
        <v>20</v>
      </c>
      <c r="C197" s="46" t="s">
        <v>22</v>
      </c>
      <c r="D197" s="46" t="s">
        <v>21</v>
      </c>
      <c r="E197" s="47" t="s">
        <v>989</v>
      </c>
      <c r="F197" s="48" t="s">
        <v>990</v>
      </c>
      <c r="G197" s="48" t="s">
        <v>991</v>
      </c>
      <c r="H197" s="90" t="s">
        <v>992</v>
      </c>
      <c r="I197" s="48">
        <v>42779</v>
      </c>
      <c r="J197" s="50">
        <v>613908.62</v>
      </c>
      <c r="K197" s="97">
        <v>520261.62</v>
      </c>
      <c r="L197" s="51"/>
      <c r="M197" s="48" t="s">
        <v>265</v>
      </c>
      <c r="N197" s="48" t="s">
        <v>173</v>
      </c>
      <c r="O197" s="46" t="s">
        <v>174</v>
      </c>
      <c r="P197" s="52">
        <v>4345265453</v>
      </c>
      <c r="Q197" s="53" t="s">
        <v>1105</v>
      </c>
      <c r="R197" s="58" t="str">
        <f>HYPERLINK("https://drive.google.com/open?id=1pl6GS3PHWAjUy7_jUWx9H8TVWLEW_0_B","Договор")</f>
        <v>Договор</v>
      </c>
      <c r="S197" s="22" t="str">
        <f>HYPERLINK("https://drive.google.com/open?id=1_AsVeapvFFo1Y4-Ejz3IYEsMyV_41PIm","Документы")</f>
        <v>Документы</v>
      </c>
      <c r="T197" s="46"/>
      <c r="U197" s="5"/>
    </row>
    <row r="198" spans="1:21" ht="94.5">
      <c r="A198" s="46">
        <v>185</v>
      </c>
      <c r="B198" s="46" t="s">
        <v>20</v>
      </c>
      <c r="C198" s="46" t="s">
        <v>22</v>
      </c>
      <c r="D198" s="46" t="s">
        <v>21</v>
      </c>
      <c r="E198" s="47" t="s">
        <v>993</v>
      </c>
      <c r="F198" s="48" t="s">
        <v>994</v>
      </c>
      <c r="G198" s="48" t="s">
        <v>995</v>
      </c>
      <c r="H198" s="90" t="s">
        <v>996</v>
      </c>
      <c r="I198" s="48">
        <v>42779</v>
      </c>
      <c r="J198" s="50">
        <v>1216748.07</v>
      </c>
      <c r="K198" s="97">
        <v>1031142.43</v>
      </c>
      <c r="L198" s="51"/>
      <c r="M198" s="48" t="s">
        <v>988</v>
      </c>
      <c r="N198" s="48" t="s">
        <v>173</v>
      </c>
      <c r="O198" s="46" t="s">
        <v>174</v>
      </c>
      <c r="P198" s="52">
        <v>4345265453</v>
      </c>
      <c r="Q198" s="53" t="s">
        <v>1106</v>
      </c>
      <c r="R198" s="58" t="str">
        <f>HYPERLINK("https://drive.google.com/open?id=1OXiDQ5k4QKfe2aOpovtb9uJV_UM4HeVN","Договор")</f>
        <v>Договор</v>
      </c>
      <c r="S198" s="22" t="str">
        <f>HYPERLINK("https://drive.google.com/open?id=1qho9dLrmm0Vhxwoa5f9OANEnuIKc3hyr","Документы")</f>
        <v>Документы</v>
      </c>
      <c r="T198" s="46"/>
      <c r="U198" s="5"/>
    </row>
    <row r="199" spans="1:21" ht="94.5">
      <c r="A199" s="46">
        <v>186</v>
      </c>
      <c r="B199" s="46" t="s">
        <v>20</v>
      </c>
      <c r="C199" s="46" t="s">
        <v>22</v>
      </c>
      <c r="D199" s="46" t="s">
        <v>21</v>
      </c>
      <c r="E199" s="47" t="s">
        <v>997</v>
      </c>
      <c r="F199" s="48" t="s">
        <v>998</v>
      </c>
      <c r="G199" s="48" t="s">
        <v>999</v>
      </c>
      <c r="H199" s="90" t="s">
        <v>1000</v>
      </c>
      <c r="I199" s="48">
        <v>42779</v>
      </c>
      <c r="J199" s="50">
        <v>1034853.78</v>
      </c>
      <c r="K199" s="97">
        <v>876994.71</v>
      </c>
      <c r="L199" s="51"/>
      <c r="M199" s="48" t="s">
        <v>988</v>
      </c>
      <c r="N199" s="48" t="s">
        <v>173</v>
      </c>
      <c r="O199" s="46" t="s">
        <v>174</v>
      </c>
      <c r="P199" s="52">
        <v>4345265453</v>
      </c>
      <c r="Q199" s="53" t="s">
        <v>1107</v>
      </c>
      <c r="R199" s="58" t="str">
        <f>HYPERLINK("https://drive.google.com/open?id=1y_h-MkuucusAeGiSaY85PIkbSv6yZUR-","Договор")</f>
        <v>Договор</v>
      </c>
      <c r="S199" s="22" t="str">
        <f>HYPERLINK("https://drive.google.com/open?id=1f1nwaRhP3A1RXuaZtKvJrZFJM0JJv5gV","Документы")</f>
        <v>Документы</v>
      </c>
      <c r="T199" s="46"/>
      <c r="U199" s="5"/>
    </row>
    <row r="200" spans="1:21" ht="94.5">
      <c r="A200" s="46">
        <v>187</v>
      </c>
      <c r="B200" s="46" t="s">
        <v>20</v>
      </c>
      <c r="C200" s="46" t="s">
        <v>22</v>
      </c>
      <c r="D200" s="46" t="s">
        <v>21</v>
      </c>
      <c r="E200" s="47" t="s">
        <v>1001</v>
      </c>
      <c r="F200" s="48" t="s">
        <v>1002</v>
      </c>
      <c r="G200" s="48" t="s">
        <v>1003</v>
      </c>
      <c r="H200" s="90" t="s">
        <v>1004</v>
      </c>
      <c r="I200" s="48">
        <v>42779</v>
      </c>
      <c r="J200" s="50">
        <v>650041.59999999998</v>
      </c>
      <c r="K200" s="97">
        <v>550882.72</v>
      </c>
      <c r="L200" s="51"/>
      <c r="M200" s="48" t="s">
        <v>1005</v>
      </c>
      <c r="N200" s="48" t="s">
        <v>173</v>
      </c>
      <c r="O200" s="46" t="s">
        <v>174</v>
      </c>
      <c r="P200" s="52">
        <v>4345265453</v>
      </c>
      <c r="Q200" s="53" t="s">
        <v>1108</v>
      </c>
      <c r="R200" s="58" t="str">
        <f>HYPERLINK("https://drive.google.com/open?id=1iyAsWYE_k4nZnmGQ3pVify4fUaDnIeSo","Договор")</f>
        <v>Договор</v>
      </c>
      <c r="S200" s="22" t="str">
        <f>HYPERLINK("https://drive.google.com/open?id=12bH3ZkFzHLJs9x47zP5wKhMArFkegDhb","Документы")</f>
        <v>Документы</v>
      </c>
      <c r="T200" s="46"/>
      <c r="U200" s="5"/>
    </row>
    <row r="201" spans="1:21" ht="94.5">
      <c r="A201" s="46">
        <v>188</v>
      </c>
      <c r="B201" s="46" t="s">
        <v>20</v>
      </c>
      <c r="C201" s="46" t="s">
        <v>22</v>
      </c>
      <c r="D201" s="46" t="s">
        <v>21</v>
      </c>
      <c r="E201" s="47" t="s">
        <v>1006</v>
      </c>
      <c r="F201" s="48" t="s">
        <v>1007</v>
      </c>
      <c r="G201" s="48" t="s">
        <v>1008</v>
      </c>
      <c r="H201" s="90" t="s">
        <v>1009</v>
      </c>
      <c r="I201" s="48">
        <v>42779</v>
      </c>
      <c r="J201" s="50">
        <v>120827.64</v>
      </c>
      <c r="K201" s="97">
        <v>102396.3</v>
      </c>
      <c r="L201" s="51"/>
      <c r="M201" s="48" t="s">
        <v>73</v>
      </c>
      <c r="N201" s="48" t="s">
        <v>173</v>
      </c>
      <c r="O201" s="46" t="s">
        <v>174</v>
      </c>
      <c r="P201" s="52">
        <v>4345265453</v>
      </c>
      <c r="Q201" s="53" t="s">
        <v>1109</v>
      </c>
      <c r="R201" s="58" t="str">
        <f>HYPERLINK("https://drive.google.com/open?id=13LDmfUSiqgdte0rEE1Ie8dz-lmUFOKqx","Договор")</f>
        <v>Договор</v>
      </c>
      <c r="S201" s="46"/>
      <c r="T201" s="46"/>
      <c r="U201" s="5"/>
    </row>
    <row r="202" spans="1:21" ht="94.5">
      <c r="A202" s="46">
        <v>189</v>
      </c>
      <c r="B202" s="46" t="s">
        <v>20</v>
      </c>
      <c r="C202" s="46" t="s">
        <v>22</v>
      </c>
      <c r="D202" s="46" t="s">
        <v>21</v>
      </c>
      <c r="E202" s="47" t="s">
        <v>1010</v>
      </c>
      <c r="F202" s="48" t="s">
        <v>1011</v>
      </c>
      <c r="G202" s="48" t="s">
        <v>1012</v>
      </c>
      <c r="H202" s="90" t="s">
        <v>1110</v>
      </c>
      <c r="I202" s="48">
        <v>42779</v>
      </c>
      <c r="J202" s="50">
        <v>1123833.3500000001</v>
      </c>
      <c r="K202" s="97">
        <v>750225.94</v>
      </c>
      <c r="L202" s="51"/>
      <c r="M202" s="48" t="s">
        <v>988</v>
      </c>
      <c r="N202" s="48" t="s">
        <v>173</v>
      </c>
      <c r="O202" s="46" t="s">
        <v>174</v>
      </c>
      <c r="P202" s="52">
        <v>4345265453</v>
      </c>
      <c r="Q202" s="53" t="s">
        <v>1111</v>
      </c>
      <c r="R202" s="58" t="str">
        <f>HYPERLINK("https://drive.google.com/open?id=1vwdniuHN7pZqx51EfE7o3tmdrVbapFru","Договор")</f>
        <v>Договор</v>
      </c>
      <c r="S202" s="22" t="str">
        <f>HYPERLINK("https://drive.google.com/open?id=1gEjJwVvP_JNQxko6w-4MpuYtqh8SmK4m","Документы")</f>
        <v>Документы</v>
      </c>
      <c r="T202" s="46"/>
      <c r="U202" s="5"/>
    </row>
    <row r="203" spans="1:21" ht="94.5">
      <c r="A203" s="46">
        <v>190</v>
      </c>
      <c r="B203" s="46" t="s">
        <v>20</v>
      </c>
      <c r="C203" s="46" t="s">
        <v>22</v>
      </c>
      <c r="D203" s="46" t="s">
        <v>21</v>
      </c>
      <c r="E203" s="47" t="s">
        <v>1013</v>
      </c>
      <c r="F203" s="48" t="s">
        <v>1014</v>
      </c>
      <c r="G203" s="48" t="s">
        <v>1015</v>
      </c>
      <c r="H203" s="90" t="s">
        <v>1016</v>
      </c>
      <c r="I203" s="48">
        <v>42779</v>
      </c>
      <c r="J203" s="50">
        <v>761620.66</v>
      </c>
      <c r="K203" s="97">
        <v>645441.23</v>
      </c>
      <c r="L203" s="51"/>
      <c r="M203" s="48" t="s">
        <v>1017</v>
      </c>
      <c r="N203" s="48" t="s">
        <v>173</v>
      </c>
      <c r="O203" s="46" t="s">
        <v>174</v>
      </c>
      <c r="P203" s="52">
        <v>4345265453</v>
      </c>
      <c r="Q203" s="53" t="s">
        <v>1069</v>
      </c>
      <c r="R203" s="58" t="str">
        <f>HYPERLINK("https://drive.google.com/open?id=1Mo6nw3Onp1RB--KJTEQ00S0A6_BnCvwY","Договор")</f>
        <v>Договор</v>
      </c>
      <c r="S203" s="22" t="str">
        <f>HYPERLINK("https://drive.google.com/open?id=15d9hWPPpujrUpuI3NV7sc0R_-0PW4mi-","Документы")</f>
        <v>Документы</v>
      </c>
      <c r="T203" s="46"/>
      <c r="U203" s="5"/>
    </row>
    <row r="204" spans="1:21" ht="94.5">
      <c r="A204" s="46">
        <v>191</v>
      </c>
      <c r="B204" s="46" t="s">
        <v>20</v>
      </c>
      <c r="C204" s="46" t="s">
        <v>22</v>
      </c>
      <c r="D204" s="46" t="s">
        <v>21</v>
      </c>
      <c r="E204" s="47" t="s">
        <v>1018</v>
      </c>
      <c r="F204" s="48" t="s">
        <v>1019</v>
      </c>
      <c r="G204" s="48" t="s">
        <v>1020</v>
      </c>
      <c r="H204" s="90" t="s">
        <v>1021</v>
      </c>
      <c r="I204" s="48">
        <v>42783</v>
      </c>
      <c r="J204" s="50">
        <v>957494.02</v>
      </c>
      <c r="K204" s="50">
        <v>866487.53</v>
      </c>
      <c r="L204" s="51">
        <v>9.5000000000000001E-2</v>
      </c>
      <c r="M204" s="48">
        <v>43159</v>
      </c>
      <c r="N204" s="46" t="s">
        <v>18</v>
      </c>
      <c r="O204" s="46" t="s">
        <v>19</v>
      </c>
      <c r="P204" s="56">
        <v>332600108871</v>
      </c>
      <c r="Q204" s="53" t="s">
        <v>1070</v>
      </c>
      <c r="R204" s="58" t="str">
        <f>HYPERLINK("https://drive.google.com/open?id=1lvDmxCn2VcR7GUPakcc5yIp76aZ_b8eJ","Договор")</f>
        <v>Договор</v>
      </c>
      <c r="S204" s="22" t="str">
        <f>HYPERLINK("https://drive.google.com/open?id=14_UM-nbCiXWr3KSxLy8MTVzAlaG5qFVz","Документы")</f>
        <v>Документы</v>
      </c>
      <c r="T204" s="46"/>
      <c r="U204" s="5"/>
    </row>
    <row r="205" spans="1:21" ht="94.5">
      <c r="A205" s="46">
        <v>192</v>
      </c>
      <c r="B205" s="46" t="s">
        <v>20</v>
      </c>
      <c r="C205" s="46" t="s">
        <v>22</v>
      </c>
      <c r="D205" s="46" t="s">
        <v>21</v>
      </c>
      <c r="E205" s="47" t="s">
        <v>1022</v>
      </c>
      <c r="F205" s="48" t="s">
        <v>1023</v>
      </c>
      <c r="G205" s="48" t="s">
        <v>1024</v>
      </c>
      <c r="H205" s="90" t="s">
        <v>1025</v>
      </c>
      <c r="I205" s="39">
        <v>42783</v>
      </c>
      <c r="J205" s="50">
        <v>1969308.01</v>
      </c>
      <c r="K205" s="50">
        <v>1839548.47</v>
      </c>
      <c r="L205" s="51"/>
      <c r="M205" s="48">
        <v>43236</v>
      </c>
      <c r="N205" s="48" t="s">
        <v>1026</v>
      </c>
      <c r="O205" s="46" t="s">
        <v>1027</v>
      </c>
      <c r="P205" s="56">
        <v>3525222922</v>
      </c>
      <c r="Q205" s="53" t="s">
        <v>1071</v>
      </c>
      <c r="R205" s="58" t="str">
        <f>HYPERLINK("https://drive.google.com/open?id=1mMEJT51sqI9K4HWd9EYmATnEJyMPvyGL","Договор")</f>
        <v>Договор</v>
      </c>
      <c r="S205" s="22" t="str">
        <f>HYPERLINK("https://drive.google.com/open?id=1h2wiRl3luEFFmLZBMShBrDkBL1z1GZb8","Документы")</f>
        <v>Документы</v>
      </c>
      <c r="T205" s="46"/>
      <c r="U205" s="5"/>
    </row>
    <row r="206" spans="1:21" ht="94.5">
      <c r="A206" s="46">
        <v>193</v>
      </c>
      <c r="B206" s="46" t="s">
        <v>20</v>
      </c>
      <c r="C206" s="46" t="s">
        <v>22</v>
      </c>
      <c r="D206" s="46" t="s">
        <v>21</v>
      </c>
      <c r="E206" s="47" t="s">
        <v>1028</v>
      </c>
      <c r="F206" s="48" t="s">
        <v>1029</v>
      </c>
      <c r="G206" s="48" t="s">
        <v>1030</v>
      </c>
      <c r="H206" s="90" t="s">
        <v>1031</v>
      </c>
      <c r="I206" s="39">
        <v>42783</v>
      </c>
      <c r="J206" s="50">
        <v>1837280.78</v>
      </c>
      <c r="K206" s="50">
        <v>1717786.31</v>
      </c>
      <c r="L206" s="51"/>
      <c r="M206" s="48">
        <v>43276</v>
      </c>
      <c r="N206" s="48" t="s">
        <v>1026</v>
      </c>
      <c r="O206" s="46" t="s">
        <v>1027</v>
      </c>
      <c r="P206" s="56">
        <v>3525222922</v>
      </c>
      <c r="Q206" s="53" t="s">
        <v>1072</v>
      </c>
      <c r="R206" s="58" t="str">
        <f>HYPERLINK("https://drive.google.com/open?id=1OP5uRnEfALNGaDEuHm0SEXw_ny7T2d7o","Договор")</f>
        <v>Договор</v>
      </c>
      <c r="S206" s="46"/>
      <c r="T206" s="46"/>
      <c r="U206" s="5"/>
    </row>
    <row r="207" spans="1:21" ht="94.5">
      <c r="A207" s="46">
        <v>194</v>
      </c>
      <c r="B207" s="46" t="s">
        <v>20</v>
      </c>
      <c r="C207" s="46" t="s">
        <v>22</v>
      </c>
      <c r="D207" s="46" t="s">
        <v>21</v>
      </c>
      <c r="E207" s="47" t="s">
        <v>1032</v>
      </c>
      <c r="F207" s="48" t="s">
        <v>1033</v>
      </c>
      <c r="G207" s="48" t="s">
        <v>1034</v>
      </c>
      <c r="H207" s="90" t="s">
        <v>1035</v>
      </c>
      <c r="I207" s="39">
        <v>42783</v>
      </c>
      <c r="J207" s="50">
        <v>1317739.52</v>
      </c>
      <c r="K207" s="50">
        <v>1239414.6599999999</v>
      </c>
      <c r="L207" s="51"/>
      <c r="M207" s="48">
        <v>43250</v>
      </c>
      <c r="N207" s="48" t="s">
        <v>1026</v>
      </c>
      <c r="O207" s="46" t="s">
        <v>1027</v>
      </c>
      <c r="P207" s="56">
        <v>3525222922</v>
      </c>
      <c r="Q207" s="53" t="s">
        <v>1073</v>
      </c>
      <c r="R207" s="58" t="str">
        <f>HYPERLINK("https://drive.google.com/open?id=1h9Qub1DKWFmzXwKQW9qyqNU1dzzGFbzH","Договор")</f>
        <v>Договор</v>
      </c>
      <c r="S207" s="46"/>
      <c r="T207" s="46"/>
      <c r="U207" s="5"/>
    </row>
    <row r="208" spans="1:21" ht="94.5">
      <c r="A208" s="46">
        <v>195</v>
      </c>
      <c r="B208" s="46" t="s">
        <v>20</v>
      </c>
      <c r="C208" s="46" t="s">
        <v>22</v>
      </c>
      <c r="D208" s="46" t="s">
        <v>21</v>
      </c>
      <c r="E208" s="47" t="s">
        <v>1036</v>
      </c>
      <c r="F208" s="48" t="s">
        <v>1037</v>
      </c>
      <c r="G208" s="48" t="s">
        <v>1038</v>
      </c>
      <c r="H208" s="90" t="s">
        <v>1039</v>
      </c>
      <c r="I208" s="39">
        <v>42783</v>
      </c>
      <c r="J208" s="50">
        <v>3899738.06</v>
      </c>
      <c r="K208" s="50">
        <v>3899738.06</v>
      </c>
      <c r="L208" s="51"/>
      <c r="M208" s="48">
        <v>43185</v>
      </c>
      <c r="N208" s="48" t="s">
        <v>1026</v>
      </c>
      <c r="O208" s="46" t="s">
        <v>1027</v>
      </c>
      <c r="P208" s="56">
        <v>3525222922</v>
      </c>
      <c r="Q208" s="96"/>
      <c r="R208" s="58" t="str">
        <f>HYPERLINK("https://drive.google.com/open?id=1Vhg1HkM8k2xaOV4cc-2ZjMkYm1XSHYGK","Договор")</f>
        <v>Договор</v>
      </c>
      <c r="S208" s="46"/>
      <c r="T208" s="46"/>
      <c r="U208" s="5"/>
    </row>
    <row r="209" spans="1:21" ht="94.5">
      <c r="A209" s="46">
        <v>196</v>
      </c>
      <c r="B209" s="46" t="s">
        <v>20</v>
      </c>
      <c r="C209" s="46" t="s">
        <v>22</v>
      </c>
      <c r="D209" s="46" t="s">
        <v>21</v>
      </c>
      <c r="E209" s="47" t="s">
        <v>1041</v>
      </c>
      <c r="F209" s="48" t="s">
        <v>1042</v>
      </c>
      <c r="G209" s="48" t="s">
        <v>1043</v>
      </c>
      <c r="H209" s="90" t="s">
        <v>1044</v>
      </c>
      <c r="I209" s="48">
        <v>42844</v>
      </c>
      <c r="J209" s="50">
        <v>793704.15</v>
      </c>
      <c r="K209" s="50">
        <v>672630.64</v>
      </c>
      <c r="L209" s="51"/>
      <c r="M209" s="48" t="s">
        <v>1017</v>
      </c>
      <c r="N209" s="48" t="s">
        <v>74</v>
      </c>
      <c r="O209" s="46" t="s">
        <v>75</v>
      </c>
      <c r="P209" s="52">
        <v>4345342965</v>
      </c>
      <c r="Q209" s="53" t="s">
        <v>1074</v>
      </c>
      <c r="R209" s="58" t="str">
        <f>HYPERLINK("https://drive.google.com/open?id=1Lc6XSBytFv2emBR-aVYC7aCxwRM88Azv","Договор")</f>
        <v>Договор</v>
      </c>
      <c r="S209" s="22" t="str">
        <f>HYPERLINK("https://drive.google.com/open?id=1GVn-vc1rLkArHSVdGEQ1G-fBuPIS21sm","Документы")</f>
        <v>Документы</v>
      </c>
      <c r="T209" s="46"/>
      <c r="U209" s="5"/>
    </row>
    <row r="210" spans="1:21" ht="94.5">
      <c r="A210" s="46">
        <v>197</v>
      </c>
      <c r="B210" s="46" t="s">
        <v>20</v>
      </c>
      <c r="C210" s="46" t="s">
        <v>22</v>
      </c>
      <c r="D210" s="46" t="s">
        <v>21</v>
      </c>
      <c r="E210" s="47" t="s">
        <v>1045</v>
      </c>
      <c r="F210" s="48" t="s">
        <v>1046</v>
      </c>
      <c r="G210" s="48" t="s">
        <v>1047</v>
      </c>
      <c r="H210" s="90" t="s">
        <v>992</v>
      </c>
      <c r="I210" s="48">
        <v>42844</v>
      </c>
      <c r="J210" s="50">
        <v>764031.84</v>
      </c>
      <c r="K210" s="50">
        <v>647484.61</v>
      </c>
      <c r="L210" s="51"/>
      <c r="M210" s="48" t="s">
        <v>1017</v>
      </c>
      <c r="N210" s="48" t="s">
        <v>74</v>
      </c>
      <c r="O210" s="46" t="s">
        <v>75</v>
      </c>
      <c r="P210" s="52">
        <v>4345342965</v>
      </c>
      <c r="Q210" s="53" t="s">
        <v>1075</v>
      </c>
      <c r="R210" s="58" t="str">
        <f>HYPERLINK("https://drive.google.com/open?id=1Y-d-EG3yWSyYqBW4hzFMNBoVC7bfvLXP","Договор")</f>
        <v>Договор</v>
      </c>
      <c r="S210" s="22" t="str">
        <f>HYPERLINK("https://drive.google.com/open?id=1miUAg3kT7a6OiEsOEbQuI8EnygHIwq2u","Документы")</f>
        <v>Документы</v>
      </c>
      <c r="T210" s="46"/>
      <c r="U210" s="5"/>
    </row>
    <row r="211" spans="1:21" ht="110.25">
      <c r="A211" s="46">
        <v>198</v>
      </c>
      <c r="B211" s="46" t="s">
        <v>20</v>
      </c>
      <c r="C211" s="46" t="s">
        <v>22</v>
      </c>
      <c r="D211" s="46" t="s">
        <v>21</v>
      </c>
      <c r="E211" s="47" t="s">
        <v>1048</v>
      </c>
      <c r="F211" s="48" t="s">
        <v>1049</v>
      </c>
      <c r="G211" s="48" t="s">
        <v>1050</v>
      </c>
      <c r="H211" s="90" t="s">
        <v>1051</v>
      </c>
      <c r="I211" s="48">
        <v>42788</v>
      </c>
      <c r="J211" s="50">
        <v>4594695.54</v>
      </c>
      <c r="K211" s="50">
        <v>4236632.8</v>
      </c>
      <c r="L211" s="51"/>
      <c r="M211" s="48">
        <v>43056</v>
      </c>
      <c r="N211" s="46" t="s">
        <v>292</v>
      </c>
      <c r="O211" s="46" t="s">
        <v>293</v>
      </c>
      <c r="P211" s="56">
        <v>3321012860</v>
      </c>
      <c r="Q211" s="53" t="s">
        <v>1076</v>
      </c>
      <c r="R211" s="58" t="str">
        <f>HYPERLINK("https://drive.google.com/open?id=1JUASNNwHQU3_AUbl_yl66qkdIzmlCXVf","Договор")</f>
        <v>Договор</v>
      </c>
      <c r="S211" s="22" t="str">
        <f>HYPERLINK("https://drive.google.com/open?id=1wQueamtou8VJSuZIiRHjzncvmaSkrTKN","Документы")</f>
        <v>Документы</v>
      </c>
      <c r="T211" s="46"/>
      <c r="U211" s="5"/>
    </row>
    <row r="212" spans="1:21" ht="94.5">
      <c r="A212" s="46">
        <v>199</v>
      </c>
      <c r="B212" s="46" t="s">
        <v>20</v>
      </c>
      <c r="C212" s="46" t="s">
        <v>22</v>
      </c>
      <c r="D212" s="46" t="s">
        <v>21</v>
      </c>
      <c r="E212" s="47" t="s">
        <v>1052</v>
      </c>
      <c r="F212" s="48" t="s">
        <v>1053</v>
      </c>
      <c r="G212" s="48" t="s">
        <v>1054</v>
      </c>
      <c r="H212" s="90" t="s">
        <v>1055</v>
      </c>
      <c r="I212" s="48">
        <v>42779</v>
      </c>
      <c r="J212" s="50">
        <v>59891.89</v>
      </c>
      <c r="K212" s="50">
        <v>59891.89</v>
      </c>
      <c r="L212" s="51"/>
      <c r="M212" s="48" t="s">
        <v>73</v>
      </c>
      <c r="N212" s="46" t="s">
        <v>494</v>
      </c>
      <c r="O212" s="46" t="s">
        <v>495</v>
      </c>
      <c r="P212" s="56">
        <v>3328401520</v>
      </c>
      <c r="Q212" s="46"/>
      <c r="R212" s="58" t="str">
        <f>HYPERLINK("https://drive.google.com/open?id=1GbH8PxOfkfDCp1Hln50wECJ8-lTksDsN","Договор")</f>
        <v>Договор</v>
      </c>
      <c r="S212" s="22" t="str">
        <f>HYPERLINK("https://drive.google.com/open?id=1aktCGufAaS41__8WsRIKmshLlKmbkbbb","Документы")</f>
        <v>Документы</v>
      </c>
      <c r="T212" s="46"/>
      <c r="U212" s="5"/>
    </row>
    <row r="213" spans="1:21" ht="189">
      <c r="A213" s="46">
        <v>200</v>
      </c>
      <c r="B213" s="46" t="s">
        <v>20</v>
      </c>
      <c r="C213" s="46" t="s">
        <v>22</v>
      </c>
      <c r="D213" s="46" t="s">
        <v>21</v>
      </c>
      <c r="E213" s="47" t="s">
        <v>1056</v>
      </c>
      <c r="F213" s="48" t="s">
        <v>1057</v>
      </c>
      <c r="G213" s="48" t="s">
        <v>1058</v>
      </c>
      <c r="H213" s="90" t="s">
        <v>1059</v>
      </c>
      <c r="I213" s="48"/>
      <c r="J213" s="50">
        <v>1259938.82</v>
      </c>
      <c r="K213" s="50">
        <v>1160452.77</v>
      </c>
      <c r="L213" s="51"/>
      <c r="M213" s="48">
        <v>43250</v>
      </c>
      <c r="N213" s="46" t="s">
        <v>1060</v>
      </c>
      <c r="O213" s="46" t="s">
        <v>1061</v>
      </c>
      <c r="P213" s="56">
        <v>3327829602</v>
      </c>
      <c r="Q213" s="53" t="s">
        <v>1077</v>
      </c>
      <c r="R213" s="58" t="str">
        <f>HYPERLINK("https://drive.google.com/open?id=1jz36xf-YXPOYAnwRudzAvMBs-mn7eNwy","Договор")</f>
        <v>Договор</v>
      </c>
      <c r="S213" s="22" t="str">
        <f>HYPERLINK("https://drive.google.com/open?id=18savaOl2rc5g4azKEmT7aByS-94NDTyP","Документы")</f>
        <v>Документы</v>
      </c>
      <c r="T213" s="46"/>
      <c r="U213" s="5"/>
    </row>
    <row r="214" spans="1:21" ht="94.5">
      <c r="A214" s="46">
        <v>201</v>
      </c>
      <c r="B214" s="46" t="s">
        <v>20</v>
      </c>
      <c r="C214" s="46" t="s">
        <v>22</v>
      </c>
      <c r="D214" s="46" t="s">
        <v>21</v>
      </c>
      <c r="E214" s="47" t="s">
        <v>1062</v>
      </c>
      <c r="F214" s="48" t="s">
        <v>1063</v>
      </c>
      <c r="G214" s="48" t="s">
        <v>1064</v>
      </c>
      <c r="H214" s="90" t="s">
        <v>1065</v>
      </c>
      <c r="I214" s="48">
        <v>42885</v>
      </c>
      <c r="J214" s="50">
        <v>3675917.99</v>
      </c>
      <c r="K214" s="50">
        <v>3387828.7</v>
      </c>
      <c r="L214" s="51"/>
      <c r="M214" s="48">
        <v>43252</v>
      </c>
      <c r="N214" s="46" t="s">
        <v>298</v>
      </c>
      <c r="O214" s="46" t="s">
        <v>299</v>
      </c>
      <c r="P214" s="56">
        <v>3329028076</v>
      </c>
      <c r="Q214" s="53" t="s">
        <v>1078</v>
      </c>
      <c r="R214" s="58" t="str">
        <f>HYPERLINK("https://drive.google.com/open?id=1pghZ7uELGzI9p3yesFeavhVf-nE_1nBx","Договор")</f>
        <v>Договор</v>
      </c>
      <c r="S214" s="46"/>
      <c r="T214" s="46"/>
      <c r="U214" s="5"/>
    </row>
    <row r="215" spans="1:21" ht="94.5">
      <c r="A215" s="46">
        <v>202</v>
      </c>
      <c r="B215" s="46" t="s">
        <v>20</v>
      </c>
      <c r="C215" s="46" t="s">
        <v>22</v>
      </c>
      <c r="D215" s="60" t="s">
        <v>21</v>
      </c>
      <c r="E215" s="60" t="s">
        <v>1066</v>
      </c>
      <c r="F215" s="61" t="s">
        <v>1067</v>
      </c>
      <c r="G215" s="61" t="s">
        <v>1079</v>
      </c>
      <c r="H215" s="61" t="s">
        <v>1068</v>
      </c>
      <c r="I215" s="61">
        <v>42671</v>
      </c>
      <c r="J215" s="63">
        <v>4733657.87</v>
      </c>
      <c r="K215" s="63">
        <v>4398657.33</v>
      </c>
      <c r="L215" s="64">
        <v>0</v>
      </c>
      <c r="M215" s="61">
        <v>43271</v>
      </c>
      <c r="N215" s="61" t="s">
        <v>534</v>
      </c>
      <c r="O215" s="60" t="s">
        <v>535</v>
      </c>
      <c r="P215" s="65">
        <v>332701116371</v>
      </c>
      <c r="Q215" s="53" t="s">
        <v>1080</v>
      </c>
      <c r="R215" s="58" t="str">
        <f>HYPERLINK("https://drive.google.com/open?id=1bjBtyZlfHYY1EnfBq0xOava27BuW-uMg","Договор")</f>
        <v>Договор</v>
      </c>
      <c r="S215" s="59"/>
      <c r="T215" s="59"/>
      <c r="U215" s="5"/>
    </row>
    <row r="216" spans="1:21" ht="94.5">
      <c r="A216" s="46">
        <v>203</v>
      </c>
      <c r="B216" s="46" t="s">
        <v>20</v>
      </c>
      <c r="C216" s="46" t="s">
        <v>22</v>
      </c>
      <c r="D216" s="60" t="s">
        <v>21</v>
      </c>
      <c r="E216" s="60" t="s">
        <v>1081</v>
      </c>
      <c r="F216" s="61" t="s">
        <v>1082</v>
      </c>
      <c r="G216" s="61" t="s">
        <v>1083</v>
      </c>
      <c r="H216" s="62" t="s">
        <v>1084</v>
      </c>
      <c r="I216" s="48">
        <v>42783</v>
      </c>
      <c r="J216" s="46">
        <v>1152344.2</v>
      </c>
      <c r="K216" s="46">
        <v>1051818.49</v>
      </c>
      <c r="L216" s="51">
        <v>0</v>
      </c>
      <c r="M216" s="48">
        <v>43252</v>
      </c>
      <c r="N216" s="46" t="s">
        <v>18</v>
      </c>
      <c r="O216" s="46" t="s">
        <v>19</v>
      </c>
      <c r="P216" s="56">
        <v>332600108871</v>
      </c>
      <c r="Q216" s="53" t="s">
        <v>1085</v>
      </c>
      <c r="R216" s="58" t="str">
        <f>HYPERLINK("https://drive.google.com/open?id=1zBqcjbQGO5UerwoBDnIxy3uKUc4jjHa0","Договор")</f>
        <v>Договор</v>
      </c>
      <c r="S216" s="22" t="str">
        <f>HYPERLINK("https://drive.google.com/open?id=189ll07ueWm5aW-5Af4z26XyH3jisR2Qy","Документы")</f>
        <v>Документы</v>
      </c>
      <c r="T216" s="5"/>
      <c r="U216" s="5"/>
    </row>
    <row r="217" spans="1:21" ht="204.75">
      <c r="A217" s="46">
        <v>204</v>
      </c>
      <c r="B217" s="46" t="s">
        <v>20</v>
      </c>
      <c r="C217" s="46" t="s">
        <v>22</v>
      </c>
      <c r="D217" s="46" t="s">
        <v>21</v>
      </c>
      <c r="E217" s="46" t="s">
        <v>1086</v>
      </c>
      <c r="F217" s="48" t="s">
        <v>1087</v>
      </c>
      <c r="G217" s="48" t="s">
        <v>1088</v>
      </c>
      <c r="H217" s="90" t="s">
        <v>1004</v>
      </c>
      <c r="I217" s="48">
        <v>42779</v>
      </c>
      <c r="J217" s="50">
        <v>933070.49</v>
      </c>
      <c r="K217" s="50">
        <v>790737.7</v>
      </c>
      <c r="L217" s="98">
        <v>0</v>
      </c>
      <c r="M217" s="48" t="s">
        <v>1005</v>
      </c>
      <c r="N217" s="48" t="s">
        <v>92</v>
      </c>
      <c r="O217" s="46" t="s">
        <v>93</v>
      </c>
      <c r="P217" s="52">
        <v>3327100418</v>
      </c>
      <c r="Q217" s="53" t="s">
        <v>1089</v>
      </c>
      <c r="R217" s="58" t="str">
        <f>HYPERLINK("https://drive.google.com/open?id=1N8Zees3mQcdJ8UQduLFBwMzl6WMW6EX2","Договор")</f>
        <v>Договор</v>
      </c>
      <c r="S217" s="22" t="str">
        <f>HYPERLINK("https://drive.google.com/open?id=1qbT-DPaBJeVGfhBEhUXsyseYSyflQrd6","Документы")</f>
        <v>Документы</v>
      </c>
      <c r="T217" s="5"/>
      <c r="U217" s="5"/>
    </row>
    <row r="218" spans="1:21" ht="94.5">
      <c r="A218" s="46">
        <v>205</v>
      </c>
      <c r="B218" s="46" t="s">
        <v>20</v>
      </c>
      <c r="C218" s="46" t="s">
        <v>22</v>
      </c>
      <c r="D218" s="60" t="s">
        <v>21</v>
      </c>
      <c r="E218" s="60" t="s">
        <v>1090</v>
      </c>
      <c r="F218" s="61" t="s">
        <v>1091</v>
      </c>
      <c r="G218" s="61" t="s">
        <v>1092</v>
      </c>
      <c r="H218" s="62" t="s">
        <v>1093</v>
      </c>
      <c r="I218" s="48">
        <v>42783</v>
      </c>
      <c r="J218" s="46">
        <v>734128.08</v>
      </c>
      <c r="K218" s="46">
        <v>649703.36</v>
      </c>
      <c r="L218" s="51"/>
      <c r="M218" s="48">
        <v>43164</v>
      </c>
      <c r="N218" s="46" t="s">
        <v>18</v>
      </c>
      <c r="O218" s="46" t="s">
        <v>19</v>
      </c>
      <c r="P218" s="56">
        <v>332600108871</v>
      </c>
      <c r="Q218" s="53" t="s">
        <v>1094</v>
      </c>
      <c r="R218" s="58" t="str">
        <f>HYPERLINK("https://drive.google.com/open?id=1ugOxlc59VAPU_A-0ouExQhUg3T4aXpUp","Договор")</f>
        <v>Договор</v>
      </c>
      <c r="S218" s="22" t="str">
        <f>HYPERLINK("https://drive.google.com/open?id=1xp3TAuCLD0X1sUaHooR1op8D6cGmucmA","Документы")</f>
        <v>Документы</v>
      </c>
      <c r="T218" s="5"/>
      <c r="U218" s="5"/>
    </row>
    <row r="219" spans="1:21" ht="94.5" customHeight="1">
      <c r="A219" s="46">
        <v>206</v>
      </c>
      <c r="B219" s="46" t="s">
        <v>20</v>
      </c>
      <c r="C219" s="46" t="s">
        <v>22</v>
      </c>
      <c r="D219" s="46" t="s">
        <v>21</v>
      </c>
      <c r="E219" s="47" t="s">
        <v>1095</v>
      </c>
      <c r="F219" s="48" t="s">
        <v>1096</v>
      </c>
      <c r="G219" s="48" t="s">
        <v>1097</v>
      </c>
      <c r="H219" s="90" t="s">
        <v>1044</v>
      </c>
      <c r="I219" s="48">
        <v>42844</v>
      </c>
      <c r="J219" s="50">
        <v>796379.79</v>
      </c>
      <c r="K219" s="50">
        <v>792394.91</v>
      </c>
      <c r="L219" s="51"/>
      <c r="M219" s="48" t="s">
        <v>1017</v>
      </c>
      <c r="N219" s="48" t="s">
        <v>74</v>
      </c>
      <c r="O219" s="46" t="s">
        <v>75</v>
      </c>
      <c r="P219" s="52">
        <v>4345342965</v>
      </c>
      <c r="Q219" s="53" t="s">
        <v>1098</v>
      </c>
      <c r="R219" s="58" t="str">
        <f>HYPERLINK("https://drive.google.com/open?id=1XS9miOM0AfADgMtZ2m97aROFRlcM7U4R","Договор")</f>
        <v>Договор</v>
      </c>
      <c r="S219" s="22" t="str">
        <f>HYPERLINK("https://drive.google.com/open?id=19exOForNrXByRtzXrb39GOiSGwGJqvqF","Документы")</f>
        <v>Документы</v>
      </c>
      <c r="T219" s="5"/>
      <c r="U219" s="5"/>
    </row>
    <row r="220" spans="1:21" ht="94.5">
      <c r="A220" s="46">
        <v>207</v>
      </c>
      <c r="B220" s="46" t="s">
        <v>20</v>
      </c>
      <c r="C220" s="46" t="s">
        <v>22</v>
      </c>
      <c r="D220" s="46" t="s">
        <v>21</v>
      </c>
      <c r="E220" s="47" t="s">
        <v>1099</v>
      </c>
      <c r="F220" s="48" t="s">
        <v>1100</v>
      </c>
      <c r="G220" s="48" t="s">
        <v>1101</v>
      </c>
      <c r="H220" s="90" t="s">
        <v>1102</v>
      </c>
      <c r="I220" s="48">
        <v>42844</v>
      </c>
      <c r="J220" s="50">
        <v>1803504.55</v>
      </c>
      <c r="K220" s="50">
        <v>1528393.69</v>
      </c>
      <c r="L220" s="51"/>
      <c r="M220" s="48" t="s">
        <v>988</v>
      </c>
      <c r="N220" s="48" t="s">
        <v>74</v>
      </c>
      <c r="O220" s="46" t="s">
        <v>75</v>
      </c>
      <c r="P220" s="52">
        <v>4345342965</v>
      </c>
      <c r="Q220" s="53" t="s">
        <v>1103</v>
      </c>
      <c r="R220" s="58" t="str">
        <f>HYPERLINK("https://drive.google.com/open?id=1iNR83FmRNSs1juYGisCIbh44jzQdnBhV","Договор")</f>
        <v>Договор</v>
      </c>
      <c r="S220" s="22" t="str">
        <f>HYPERLINK("https://drive.google.com/open?id=1L1qqK5U_GmyTAeyiDmDYl7PmmZoH7lwT","Документы")</f>
        <v>Документы</v>
      </c>
      <c r="T220" s="5"/>
      <c r="U220" s="5"/>
    </row>
    <row r="221" spans="1:21" ht="94.5">
      <c r="A221" s="46">
        <v>208</v>
      </c>
      <c r="B221" s="46" t="s">
        <v>20</v>
      </c>
      <c r="C221" s="46" t="s">
        <v>22</v>
      </c>
      <c r="D221" s="46" t="s">
        <v>21</v>
      </c>
      <c r="E221" s="47" t="s">
        <v>1112</v>
      </c>
      <c r="F221" s="48" t="s">
        <v>1113</v>
      </c>
      <c r="G221" s="48" t="s">
        <v>1114</v>
      </c>
      <c r="H221" s="90" t="s">
        <v>1115</v>
      </c>
      <c r="I221" s="48">
        <v>42885</v>
      </c>
      <c r="J221" s="50">
        <v>1176927.26</v>
      </c>
      <c r="K221" s="50">
        <v>1094890.6399999999</v>
      </c>
      <c r="L221" s="51"/>
      <c r="M221" s="48">
        <v>43252</v>
      </c>
      <c r="N221" s="46" t="s">
        <v>298</v>
      </c>
      <c r="O221" s="46" t="s">
        <v>299</v>
      </c>
      <c r="P221" s="56">
        <v>3329028076</v>
      </c>
      <c r="Q221" s="53" t="s">
        <v>1116</v>
      </c>
      <c r="R221" s="58" t="str">
        <f>HYPERLINK("https://drive.google.com/open?id=1NVV_W3X-4epMrbXlvnFmlYOvAOzec8yA","Договор")</f>
        <v>Договор</v>
      </c>
      <c r="S221" s="22" t="str">
        <f>HYPERLINK("https://drive.google.com/open?id=1yGL5vWXgKmW1c_1mAWVlUFkIE1QVOuMG","Документы")</f>
        <v>Документы</v>
      </c>
      <c r="T221" s="46"/>
      <c r="U221" s="5"/>
    </row>
    <row r="222" spans="1:21" ht="94.5">
      <c r="A222" s="46">
        <v>209</v>
      </c>
      <c r="B222" s="46" t="s">
        <v>20</v>
      </c>
      <c r="C222" s="46" t="s">
        <v>22</v>
      </c>
      <c r="D222" s="46" t="s">
        <v>21</v>
      </c>
      <c r="E222" s="47" t="s">
        <v>1117</v>
      </c>
      <c r="F222" s="48" t="s">
        <v>1118</v>
      </c>
      <c r="G222" s="48" t="s">
        <v>1119</v>
      </c>
      <c r="H222" s="90" t="s">
        <v>1004</v>
      </c>
      <c r="I222" s="61">
        <v>42849</v>
      </c>
      <c r="J222" s="50">
        <v>921878.16</v>
      </c>
      <c r="K222" s="50">
        <v>781252.68</v>
      </c>
      <c r="L222" s="51"/>
      <c r="M222" s="48" t="s">
        <v>1005</v>
      </c>
      <c r="N222" s="48" t="s">
        <v>1120</v>
      </c>
      <c r="O222" s="46" t="s">
        <v>1121</v>
      </c>
      <c r="P222" s="52">
        <v>7610052877</v>
      </c>
      <c r="Q222" s="53" t="s">
        <v>1122</v>
      </c>
      <c r="R222" s="58" t="str">
        <f>HYPERLINK("https://drive.google.com/open?id=1pJbNpZAm5bEHub9lgmmQTfmbGtejqHno","Договор")</f>
        <v>Договор</v>
      </c>
      <c r="S222" s="22" t="str">
        <f>HYPERLINK("https://drive.google.com/open?id=1d5vNPDyUFLIeBaDmY6TOl7GxeZhxIKXF","Документы")</f>
        <v>Документы</v>
      </c>
      <c r="T222" s="46"/>
      <c r="U222" s="5"/>
    </row>
    <row r="223" spans="1:21" ht="189">
      <c r="A223" s="46">
        <v>210</v>
      </c>
      <c r="B223" s="46" t="s">
        <v>20</v>
      </c>
      <c r="C223" s="46" t="s">
        <v>22</v>
      </c>
      <c r="D223" s="46" t="s">
        <v>21</v>
      </c>
      <c r="E223" s="46" t="s">
        <v>1123</v>
      </c>
      <c r="F223" s="48" t="s">
        <v>1124</v>
      </c>
      <c r="G223" s="48" t="s">
        <v>1125</v>
      </c>
      <c r="H223" s="91" t="s">
        <v>1126</v>
      </c>
      <c r="I223" s="79">
        <v>42970</v>
      </c>
      <c r="J223" s="50">
        <v>18109894.25</v>
      </c>
      <c r="K223" s="50">
        <v>17928795.309999999</v>
      </c>
      <c r="L223" s="51">
        <v>9.7000000000000003E-3</v>
      </c>
      <c r="M223" s="46" t="s">
        <v>1127</v>
      </c>
      <c r="N223" s="48" t="s">
        <v>829</v>
      </c>
      <c r="O223" s="92" t="s">
        <v>830</v>
      </c>
      <c r="P223" s="52">
        <v>7703761192</v>
      </c>
      <c r="Q223" s="46"/>
      <c r="R223" s="58" t="str">
        <f>HYPERLINK("https://drive.google.com/open?id=1xL6DOecExkYOu46wMKk3jpyfkCeT7GAk","Договор")</f>
        <v>Договор</v>
      </c>
      <c r="S223" s="22" t="str">
        <f>HYPERLINK("https://drive.google.com/open?id=16TBcidKMQKBcv2gNvCOEIULtfTHm-3lu","Документы")</f>
        <v>Документы</v>
      </c>
      <c r="T223" s="46"/>
      <c r="U223" s="101"/>
    </row>
    <row r="224" spans="1:21" ht="204.75">
      <c r="A224" s="46">
        <v>211</v>
      </c>
      <c r="B224" s="46" t="s">
        <v>20</v>
      </c>
      <c r="C224" s="46" t="s">
        <v>22</v>
      </c>
      <c r="D224" s="46" t="s">
        <v>21</v>
      </c>
      <c r="E224" s="47" t="s">
        <v>1128</v>
      </c>
      <c r="F224" s="48" t="s">
        <v>1129</v>
      </c>
      <c r="G224" s="48" t="s">
        <v>1130</v>
      </c>
      <c r="H224" s="49" t="s">
        <v>1131</v>
      </c>
      <c r="I224" s="48">
        <v>42671</v>
      </c>
      <c r="J224" s="50">
        <v>3259047.65</v>
      </c>
      <c r="K224" s="50">
        <v>3010433.72</v>
      </c>
      <c r="L224" s="51"/>
      <c r="M224" s="48">
        <v>43202</v>
      </c>
      <c r="N224" s="48" t="s">
        <v>257</v>
      </c>
      <c r="O224" s="46" t="s">
        <v>258</v>
      </c>
      <c r="P224" s="52">
        <v>330700346964</v>
      </c>
      <c r="Q224" s="53" t="s">
        <v>1132</v>
      </c>
      <c r="R224" s="58" t="str">
        <f>HYPERLINK("https://drive.google.com/open?id=1ippRBdgPmyS0Hm7CLlwsutLIzFX1D1-6","Договор")</f>
        <v>Договор</v>
      </c>
      <c r="S224" s="22" t="str">
        <f>HYPERLINK("https://drive.google.com/open?id=1NmNBKa-l-K8KVrBv9mfWA-XDsfraLA8m","Документы")</f>
        <v>Документы</v>
      </c>
      <c r="T224" s="54"/>
      <c r="U224" s="54"/>
    </row>
    <row r="225" spans="1:21" ht="126">
      <c r="A225" s="46">
        <v>212</v>
      </c>
      <c r="B225" s="46" t="s">
        <v>20</v>
      </c>
      <c r="C225" s="46" t="s">
        <v>22</v>
      </c>
      <c r="D225" s="60" t="s">
        <v>21</v>
      </c>
      <c r="E225" s="60" t="s">
        <v>1133</v>
      </c>
      <c r="F225" s="61" t="s">
        <v>1134</v>
      </c>
      <c r="G225" s="61" t="s">
        <v>2236</v>
      </c>
      <c r="H225" s="62" t="s">
        <v>1135</v>
      </c>
      <c r="I225" s="48">
        <v>42783</v>
      </c>
      <c r="J225" s="46">
        <v>1293860.3700000001</v>
      </c>
      <c r="K225" s="46">
        <v>1169953.26</v>
      </c>
      <c r="L225" s="51">
        <v>0</v>
      </c>
      <c r="M225" s="48">
        <v>43252</v>
      </c>
      <c r="N225" s="46" t="s">
        <v>18</v>
      </c>
      <c r="O225" s="46" t="s">
        <v>19</v>
      </c>
      <c r="P225" s="56">
        <v>332600108871</v>
      </c>
      <c r="Q225" s="53" t="s">
        <v>1136</v>
      </c>
      <c r="R225" s="58" t="str">
        <f>HYPERLINK("https://drive.google.com/open?id=1sRKHH2FPeNeoc7A7dO2wSlHiIi8k48YS","Договор")</f>
        <v>Договор</v>
      </c>
      <c r="S225" s="22" t="str">
        <f>HYPERLINK("https://drive.google.com/open?id=1EaeHmvdtbpyY3uDS20SEeJmcBMGTBwgB","Документы")</f>
        <v>Документы</v>
      </c>
      <c r="T225" s="59"/>
      <c r="U225" s="78"/>
    </row>
    <row r="226" spans="1:21" ht="204.75">
      <c r="A226" s="46">
        <v>213</v>
      </c>
      <c r="B226" s="46" t="s">
        <v>20</v>
      </c>
      <c r="C226" s="46" t="s">
        <v>22</v>
      </c>
      <c r="D226" s="46" t="s">
        <v>21</v>
      </c>
      <c r="E226" s="46" t="s">
        <v>1137</v>
      </c>
      <c r="F226" s="48" t="s">
        <v>1138</v>
      </c>
      <c r="G226" s="48" t="s">
        <v>1151</v>
      </c>
      <c r="H226" s="49" t="s">
        <v>1139</v>
      </c>
      <c r="I226" s="48">
        <v>42779</v>
      </c>
      <c r="J226" s="50">
        <v>699380.89</v>
      </c>
      <c r="K226" s="50">
        <v>592695.67000000004</v>
      </c>
      <c r="L226" s="51"/>
      <c r="M226" s="48" t="s">
        <v>988</v>
      </c>
      <c r="N226" s="48" t="s">
        <v>92</v>
      </c>
      <c r="O226" s="46" t="s">
        <v>93</v>
      </c>
      <c r="P226" s="52">
        <v>3327100418</v>
      </c>
      <c r="Q226" s="53" t="s">
        <v>1140</v>
      </c>
      <c r="R226" s="58" t="str">
        <f>HYPERLINK("https://drive.google.com/open?id=1unniIMa3ikFaoJ2VUI2tPakJMwGbdgqR","Договор")</f>
        <v>Договор</v>
      </c>
      <c r="S226" s="54"/>
      <c r="T226" s="54"/>
      <c r="U226" s="5"/>
    </row>
    <row r="227" spans="1:21" ht="204.75">
      <c r="A227" s="46">
        <v>214</v>
      </c>
      <c r="B227" s="46" t="s">
        <v>20</v>
      </c>
      <c r="C227" s="46" t="s">
        <v>22</v>
      </c>
      <c r="D227" s="46" t="s">
        <v>21</v>
      </c>
      <c r="E227" s="46" t="s">
        <v>1141</v>
      </c>
      <c r="F227" s="48" t="s">
        <v>1142</v>
      </c>
      <c r="G227" s="48" t="s">
        <v>1143</v>
      </c>
      <c r="H227" s="49" t="s">
        <v>1144</v>
      </c>
      <c r="I227" s="48">
        <v>42779</v>
      </c>
      <c r="J227" s="50">
        <v>677805.93</v>
      </c>
      <c r="K227" s="50">
        <v>574411.81000000006</v>
      </c>
      <c r="L227" s="51"/>
      <c r="M227" s="48" t="s">
        <v>988</v>
      </c>
      <c r="N227" s="48" t="s">
        <v>92</v>
      </c>
      <c r="O227" s="46" t="s">
        <v>93</v>
      </c>
      <c r="P227" s="52">
        <v>3327100418</v>
      </c>
      <c r="Q227" s="53" t="s">
        <v>1145</v>
      </c>
      <c r="R227" s="58" t="str">
        <f>HYPERLINK("https://drive.google.com/open?id=1wEBC-Q2klw5-ZdxLIw4DNV74O6Q2qIap","Договор")</f>
        <v>Договор</v>
      </c>
      <c r="S227" s="22" t="str">
        <f>HYPERLINK("https://drive.google.com/open?id=1C38877LXQoWlrXgVpPsUY3P_mlKgXsuT","Документы")</f>
        <v>Документы</v>
      </c>
      <c r="T227" s="54"/>
      <c r="U227" s="5"/>
    </row>
    <row r="228" spans="1:21" ht="126">
      <c r="A228" s="46">
        <v>215</v>
      </c>
      <c r="B228" s="46" t="s">
        <v>20</v>
      </c>
      <c r="C228" s="46" t="s">
        <v>22</v>
      </c>
      <c r="D228" s="46" t="s">
        <v>21</v>
      </c>
      <c r="E228" s="46" t="s">
        <v>1146</v>
      </c>
      <c r="F228" s="48" t="s">
        <v>1147</v>
      </c>
      <c r="G228" s="48" t="s">
        <v>1148</v>
      </c>
      <c r="H228" s="49" t="s">
        <v>1149</v>
      </c>
      <c r="I228" s="79">
        <v>42885</v>
      </c>
      <c r="J228" s="50">
        <v>3391690.64</v>
      </c>
      <c r="K228" s="50">
        <v>3000000</v>
      </c>
      <c r="L228" s="51">
        <v>0.18</v>
      </c>
      <c r="M228" s="48">
        <v>43223</v>
      </c>
      <c r="N228" s="48" t="s">
        <v>775</v>
      </c>
      <c r="O228" s="46" t="s">
        <v>776</v>
      </c>
      <c r="P228" s="52">
        <v>3245515130</v>
      </c>
      <c r="Q228" s="53" t="s">
        <v>1150</v>
      </c>
      <c r="R228" s="58" t="str">
        <f>HYPERLINK("https://drive.google.com/open?id=1pMizrIWTcx-UjQAWR2rfQ68cn1TLBH82","Договор")</f>
        <v>Договор</v>
      </c>
      <c r="S228" s="22" t="str">
        <f>HYPERLINK("https://drive.google.com/open?id=1hrITrcaHgnowBCCpgpBAuW9TNYIWByE8","Документы")</f>
        <v>Документы</v>
      </c>
      <c r="T228" s="54"/>
      <c r="U228" s="5"/>
    </row>
    <row r="229" spans="1:21" ht="110.25">
      <c r="A229" s="46">
        <v>216</v>
      </c>
      <c r="B229" s="46" t="s">
        <v>20</v>
      </c>
      <c r="C229" s="46" t="s">
        <v>22</v>
      </c>
      <c r="D229" s="46" t="s">
        <v>21</v>
      </c>
      <c r="E229" s="47" t="s">
        <v>1152</v>
      </c>
      <c r="F229" s="48" t="s">
        <v>1153</v>
      </c>
      <c r="G229" s="48" t="s">
        <v>1154</v>
      </c>
      <c r="H229" s="90" t="s">
        <v>996</v>
      </c>
      <c r="I229" s="61">
        <v>43111</v>
      </c>
      <c r="J229" s="50">
        <v>1601714.29</v>
      </c>
      <c r="K229" s="50">
        <v>1357384.98</v>
      </c>
      <c r="L229" s="51"/>
      <c r="M229" s="48" t="s">
        <v>988</v>
      </c>
      <c r="N229" s="48" t="s">
        <v>1155</v>
      </c>
      <c r="O229" s="46" t="s">
        <v>1156</v>
      </c>
      <c r="P229" s="52">
        <v>3307003127</v>
      </c>
      <c r="Q229" s="53" t="s">
        <v>1157</v>
      </c>
      <c r="R229" s="58" t="str">
        <f>HYPERLINK("https://drive.google.com/open?id=16z6priy4kmROuNgE0tiDpoqg2TZuLSAL","Договор")</f>
        <v>Договор</v>
      </c>
      <c r="S229" s="22" t="str">
        <f>HYPERLINK("https://drive.google.com/open?id=16kV2O6cRuVLUBunvv7P-mGLBaP3T9TFU","Документы")</f>
        <v>Документы</v>
      </c>
      <c r="T229" s="53"/>
      <c r="U229" s="5"/>
    </row>
    <row r="230" spans="1:21" ht="94.5">
      <c r="A230" s="46">
        <v>217</v>
      </c>
      <c r="B230" s="46" t="s">
        <v>20</v>
      </c>
      <c r="C230" s="46" t="s">
        <v>22</v>
      </c>
      <c r="D230" s="46" t="s">
        <v>21</v>
      </c>
      <c r="E230" s="46" t="s">
        <v>1158</v>
      </c>
      <c r="F230" s="48" t="s">
        <v>1159</v>
      </c>
      <c r="G230" s="48" t="s">
        <v>1160</v>
      </c>
      <c r="H230" s="49" t="s">
        <v>1161</v>
      </c>
      <c r="I230" s="48">
        <v>42793</v>
      </c>
      <c r="J230" s="50">
        <v>1298815.8</v>
      </c>
      <c r="K230" s="50">
        <v>1298815.8</v>
      </c>
      <c r="L230" s="51"/>
      <c r="M230" s="48">
        <v>43238</v>
      </c>
      <c r="N230" s="48" t="s">
        <v>223</v>
      </c>
      <c r="O230" s="46" t="s">
        <v>224</v>
      </c>
      <c r="P230" s="52">
        <v>3327839216</v>
      </c>
      <c r="Q230" s="53"/>
      <c r="R230" s="58" t="str">
        <f>HYPERLINK("https://drive.google.com/open?id=1aHJZst6_5Oh7EgEeOK6URB-e6xduhfRM","Договор")</f>
        <v>Договор</v>
      </c>
      <c r="S230" s="54"/>
      <c r="T230" s="54"/>
      <c r="U230" s="5"/>
    </row>
    <row r="231" spans="1:21" ht="126">
      <c r="A231" s="46">
        <v>218</v>
      </c>
      <c r="B231" s="46" t="s">
        <v>20</v>
      </c>
      <c r="C231" s="46" t="s">
        <v>22</v>
      </c>
      <c r="D231" s="46" t="s">
        <v>21</v>
      </c>
      <c r="E231" s="46" t="s">
        <v>1162</v>
      </c>
      <c r="F231" s="48" t="s">
        <v>1163</v>
      </c>
      <c r="G231" s="48" t="s">
        <v>1164</v>
      </c>
      <c r="H231" s="49" t="s">
        <v>1165</v>
      </c>
      <c r="I231" s="48">
        <v>43090</v>
      </c>
      <c r="J231" s="50">
        <v>734164.73</v>
      </c>
      <c r="K231" s="50">
        <v>734164.73</v>
      </c>
      <c r="L231" s="51"/>
      <c r="M231" s="48">
        <v>43267</v>
      </c>
      <c r="N231" s="48" t="s">
        <v>1166</v>
      </c>
      <c r="O231" s="46" t="s">
        <v>1167</v>
      </c>
      <c r="P231" s="99" t="s">
        <v>1168</v>
      </c>
      <c r="Q231" s="53"/>
      <c r="R231" s="58" t="str">
        <f>HYPERLINK("https://drive.google.com/open?id=1yZAmZxFLSMQbnMKzfReeUFSbonMbDWlI","Договор")</f>
        <v>Договор</v>
      </c>
      <c r="S231" s="22" t="str">
        <f>HYPERLINK("https://drive.google.com/open?id=1OQnnktTBBcxJvGS1Dg2kSaKp1hD9iwHC","Документы")</f>
        <v>Документы</v>
      </c>
      <c r="T231" s="54"/>
      <c r="U231" s="5"/>
    </row>
    <row r="232" spans="1:21" ht="126">
      <c r="A232" s="46">
        <v>219</v>
      </c>
      <c r="B232" s="46" t="s">
        <v>20</v>
      </c>
      <c r="C232" s="46" t="s">
        <v>22</v>
      </c>
      <c r="D232" s="46" t="s">
        <v>21</v>
      </c>
      <c r="E232" s="46" t="s">
        <v>1169</v>
      </c>
      <c r="F232" s="48" t="s">
        <v>1170</v>
      </c>
      <c r="G232" s="48" t="s">
        <v>1171</v>
      </c>
      <c r="H232" s="49" t="s">
        <v>1172</v>
      </c>
      <c r="I232" s="48">
        <v>43090</v>
      </c>
      <c r="J232" s="50">
        <v>809072.35</v>
      </c>
      <c r="K232" s="50">
        <v>809072.35</v>
      </c>
      <c r="L232" s="51"/>
      <c r="M232" s="48">
        <v>43245</v>
      </c>
      <c r="N232" s="48" t="s">
        <v>1166</v>
      </c>
      <c r="O232" s="46" t="s">
        <v>1167</v>
      </c>
      <c r="P232" s="99" t="s">
        <v>1168</v>
      </c>
      <c r="Q232" s="53"/>
      <c r="R232" s="58" t="str">
        <f>HYPERLINK("https://drive.google.com/open?id=1u-Bd6Z_9sKy-T-9jmvN9r3hUy1o2je1H","Договор")</f>
        <v>Договор</v>
      </c>
      <c r="S232" s="22" t="str">
        <f>HYPERLINK("https://drive.google.com/open?id=1BQhYUKZsQqO61C2b5W2gAcRpIlqB0QxM","Документы")</f>
        <v>Документы</v>
      </c>
      <c r="T232" s="54"/>
      <c r="U232" s="5"/>
    </row>
    <row r="233" spans="1:21" ht="94.5">
      <c r="A233" s="46">
        <v>220</v>
      </c>
      <c r="B233" s="46" t="s">
        <v>20</v>
      </c>
      <c r="C233" s="46" t="s">
        <v>22</v>
      </c>
      <c r="D233" s="46" t="s">
        <v>21</v>
      </c>
      <c r="E233" s="46" t="s">
        <v>1173</v>
      </c>
      <c r="F233" s="48" t="s">
        <v>1174</v>
      </c>
      <c r="G233" s="48" t="s">
        <v>1175</v>
      </c>
      <c r="H233" s="49" t="s">
        <v>1176</v>
      </c>
      <c r="I233" s="48">
        <v>42793</v>
      </c>
      <c r="J233" s="50">
        <v>2414780.7000000002</v>
      </c>
      <c r="K233" s="50">
        <v>2402706</v>
      </c>
      <c r="L233" s="51"/>
      <c r="M233" s="48">
        <v>43238</v>
      </c>
      <c r="N233" s="48" t="s">
        <v>223</v>
      </c>
      <c r="O233" s="46" t="s">
        <v>224</v>
      </c>
      <c r="P233" s="52">
        <v>3327839216</v>
      </c>
      <c r="Q233" s="53"/>
      <c r="R233" s="58" t="str">
        <f>HYPERLINK("https://drive.google.com/open?id=1zc7B24OpzlwucZFwLvNr9yUOyVOMAnaU","Договор")</f>
        <v>Договор</v>
      </c>
      <c r="S233" s="22" t="str">
        <f>HYPERLINK("https://drive.google.com/open?id=1rP11A-7HyyRvG6krFoA-UiZj0BiAr1gP","Документы")</f>
        <v>Документы</v>
      </c>
      <c r="T233" s="54"/>
      <c r="U233" s="5"/>
    </row>
    <row r="234" spans="1:21" ht="94.5">
      <c r="A234" s="46">
        <v>221</v>
      </c>
      <c r="B234" s="46" t="s">
        <v>20</v>
      </c>
      <c r="C234" s="46" t="s">
        <v>22</v>
      </c>
      <c r="D234" s="60" t="s">
        <v>21</v>
      </c>
      <c r="E234" s="60" t="s">
        <v>1177</v>
      </c>
      <c r="F234" s="61" t="s">
        <v>1178</v>
      </c>
      <c r="G234" s="61" t="s">
        <v>1179</v>
      </c>
      <c r="H234" s="62" t="s">
        <v>1180</v>
      </c>
      <c r="I234" s="61">
        <v>42885</v>
      </c>
      <c r="J234" s="63">
        <v>3688949.71</v>
      </c>
      <c r="K234" s="63">
        <v>3428034.36</v>
      </c>
      <c r="L234" s="64">
        <v>0</v>
      </c>
      <c r="M234" s="61">
        <v>43195</v>
      </c>
      <c r="N234" s="61" t="s">
        <v>546</v>
      </c>
      <c r="O234" s="60" t="s">
        <v>273</v>
      </c>
      <c r="P234" s="65">
        <v>3304015533</v>
      </c>
      <c r="Q234" s="53" t="s">
        <v>1181</v>
      </c>
      <c r="R234" s="58" t="str">
        <f>HYPERLINK("https://drive.google.com/open?id=1soypQBaD6yy8jHGUUdUzYHaRAzyWvXjT","Договор")</f>
        <v>Договор</v>
      </c>
      <c r="S234" s="54"/>
      <c r="T234" s="54"/>
      <c r="U234" s="5"/>
    </row>
    <row r="235" spans="1:21" ht="157.5">
      <c r="A235" s="46">
        <v>222</v>
      </c>
      <c r="B235" s="46" t="s">
        <v>20</v>
      </c>
      <c r="C235" s="46" t="s">
        <v>22</v>
      </c>
      <c r="D235" s="46" t="s">
        <v>21</v>
      </c>
      <c r="E235" s="46" t="s">
        <v>1182</v>
      </c>
      <c r="F235" s="48" t="s">
        <v>1183</v>
      </c>
      <c r="G235" s="48" t="s">
        <v>1184</v>
      </c>
      <c r="H235" s="49" t="s">
        <v>1185</v>
      </c>
      <c r="I235" s="48">
        <v>42793</v>
      </c>
      <c r="J235" s="50">
        <v>4140646.31</v>
      </c>
      <c r="K235" s="50">
        <v>4140646.31</v>
      </c>
      <c r="L235" s="51"/>
      <c r="M235" s="48">
        <v>43281</v>
      </c>
      <c r="N235" s="48" t="s">
        <v>223</v>
      </c>
      <c r="O235" s="46" t="s">
        <v>224</v>
      </c>
      <c r="P235" s="52">
        <v>3327839216</v>
      </c>
      <c r="Q235" s="53"/>
      <c r="R235" s="58" t="str">
        <f>HYPERLINK("https://drive.google.com/open?id=1PKTfpE8y2jEjfBwlqrGyzNfMNd9hyDUl","Договор")</f>
        <v>Договор</v>
      </c>
      <c r="S235" s="22" t="str">
        <f>HYPERLINK("https://drive.google.com/open?id=1junNl2wcYqPxAiY2C8RXNUm4ctL6YC1F","Документы")</f>
        <v>Документы</v>
      </c>
      <c r="T235" s="54"/>
      <c r="U235" s="54"/>
    </row>
    <row r="236" spans="1:21" ht="141.75">
      <c r="A236" s="46">
        <v>223</v>
      </c>
      <c r="B236" s="46" t="s">
        <v>20</v>
      </c>
      <c r="C236" s="46" t="s">
        <v>22</v>
      </c>
      <c r="D236" s="60" t="s">
        <v>21</v>
      </c>
      <c r="E236" s="60" t="s">
        <v>1186</v>
      </c>
      <c r="F236" s="61" t="s">
        <v>1187</v>
      </c>
      <c r="G236" s="61" t="s">
        <v>1188</v>
      </c>
      <c r="H236" s="62" t="s">
        <v>1189</v>
      </c>
      <c r="I236" s="48">
        <v>42783</v>
      </c>
      <c r="J236" s="100">
        <v>1643629.81</v>
      </c>
      <c r="K236" s="100">
        <v>1519329.5</v>
      </c>
      <c r="L236" s="51">
        <v>0</v>
      </c>
      <c r="M236" s="48">
        <v>43252</v>
      </c>
      <c r="N236" s="46" t="s">
        <v>18</v>
      </c>
      <c r="O236" s="46" t="s">
        <v>19</v>
      </c>
      <c r="P236" s="56">
        <v>332600108871</v>
      </c>
      <c r="Q236" s="53" t="s">
        <v>1190</v>
      </c>
      <c r="R236" s="58" t="str">
        <f>HYPERLINK("https://drive.google.com/open?id=14JXG2o9CgW1Eze3aicStf1lIeyUWECFI","Договор")</f>
        <v>Договор</v>
      </c>
      <c r="S236" s="22" t="str">
        <f>HYPERLINK("https://drive.google.com/open?id=1fcps_r8svdfYKUZ4-Qkwikhltx80mRD_","Документы")</f>
        <v>Документы</v>
      </c>
      <c r="T236" s="59"/>
      <c r="U236" s="78"/>
    </row>
    <row r="237" spans="1:21" ht="141.75">
      <c r="A237" s="46">
        <v>224</v>
      </c>
      <c r="B237" s="46" t="s">
        <v>20</v>
      </c>
      <c r="C237" s="46" t="s">
        <v>22</v>
      </c>
      <c r="D237" s="60" t="s">
        <v>21</v>
      </c>
      <c r="E237" s="60" t="s">
        <v>1191</v>
      </c>
      <c r="F237" s="61" t="s">
        <v>1192</v>
      </c>
      <c r="G237" s="61" t="s">
        <v>1193</v>
      </c>
      <c r="H237" s="62" t="s">
        <v>1194</v>
      </c>
      <c r="I237" s="48">
        <v>42783</v>
      </c>
      <c r="J237" s="100">
        <v>3389258.33</v>
      </c>
      <c r="K237" s="100">
        <v>3072199.84</v>
      </c>
      <c r="L237" s="51">
        <v>0</v>
      </c>
      <c r="M237" s="48">
        <v>43252</v>
      </c>
      <c r="N237" s="46" t="s">
        <v>18</v>
      </c>
      <c r="O237" s="46" t="s">
        <v>19</v>
      </c>
      <c r="P237" s="56">
        <v>332600108871</v>
      </c>
      <c r="Q237" s="53" t="s">
        <v>1195</v>
      </c>
      <c r="R237" s="58" t="str">
        <f>HYPERLINK("https://drive.google.com/open?id=12rl62NrWhovbYAiALdf2U8e0ELl6mMcV","Договор")</f>
        <v>Договор</v>
      </c>
      <c r="S237" s="22" t="str">
        <f>HYPERLINK("https://drive.google.com/open?id=1GGJGmcMnc2C-tDteQndBSRS-26BPBYzH","Документы")</f>
        <v>Документы</v>
      </c>
      <c r="T237" s="59"/>
      <c r="U237" s="78"/>
    </row>
    <row r="238" spans="1:21" ht="110.25">
      <c r="A238" s="46">
        <v>225</v>
      </c>
      <c r="B238" s="46" t="s">
        <v>20</v>
      </c>
      <c r="C238" s="46" t="s">
        <v>504</v>
      </c>
      <c r="D238" s="46" t="s">
        <v>505</v>
      </c>
      <c r="E238" s="47"/>
      <c r="F238" s="48" t="s">
        <v>1196</v>
      </c>
      <c r="G238" s="48" t="s">
        <v>1197</v>
      </c>
      <c r="H238" s="49" t="s">
        <v>1198</v>
      </c>
      <c r="I238" s="48"/>
      <c r="J238" s="50"/>
      <c r="K238" s="50">
        <v>1247375.98</v>
      </c>
      <c r="L238" s="51">
        <v>0</v>
      </c>
      <c r="M238" s="48" t="s">
        <v>1199</v>
      </c>
      <c r="N238" s="48" t="s">
        <v>1200</v>
      </c>
      <c r="O238" s="46" t="s">
        <v>1201</v>
      </c>
      <c r="P238" s="52">
        <v>3305003918</v>
      </c>
      <c r="Q238" s="46"/>
      <c r="R238" s="58" t="str">
        <f>HYPERLINK("https://drive.google.com/open?id=1BIspstmvIQf7jEvSx84vwWAAFEUHQJ-z","Договор")</f>
        <v>Договор</v>
      </c>
      <c r="S238" s="22" t="str">
        <f>HYPERLINK("https://drive.google.com/open?id=1p0HPSp_AXlt5Jn8v1iW-MlTcjTq8lxQJ","Документы")</f>
        <v>Документы</v>
      </c>
      <c r="T238" s="46"/>
      <c r="U238" s="5"/>
    </row>
    <row r="239" spans="1:21" ht="110.25">
      <c r="A239" s="46">
        <v>226</v>
      </c>
      <c r="B239" s="46" t="s">
        <v>20</v>
      </c>
      <c r="C239" s="46" t="s">
        <v>22</v>
      </c>
      <c r="D239" s="46" t="s">
        <v>21</v>
      </c>
      <c r="E239" s="47" t="s">
        <v>1202</v>
      </c>
      <c r="F239" s="48" t="s">
        <v>1203</v>
      </c>
      <c r="G239" s="48" t="s">
        <v>1204</v>
      </c>
      <c r="H239" s="49" t="s">
        <v>1205</v>
      </c>
      <c r="I239" s="48">
        <v>42793</v>
      </c>
      <c r="J239" s="50">
        <v>1070047.3799999999</v>
      </c>
      <c r="K239" s="50">
        <v>991232.97</v>
      </c>
      <c r="L239" s="51"/>
      <c r="M239" s="48">
        <v>42974</v>
      </c>
      <c r="N239" s="48" t="s">
        <v>115</v>
      </c>
      <c r="O239" s="46" t="s">
        <v>116</v>
      </c>
      <c r="P239" s="52">
        <v>3326000435</v>
      </c>
      <c r="Q239" s="53" t="s">
        <v>1206</v>
      </c>
      <c r="R239" s="58" t="str">
        <f>HYPERLINK("https://drive.google.com/open?id=1OX2-6jgggTfiZia5tzt7Y9z8tq8kueaM","Договор")</f>
        <v>Договор</v>
      </c>
      <c r="S239" s="22" t="str">
        <f>HYPERLINK("https://drive.google.com/open?id=1APGmkB2SCL000XmZKiXJELqfU2xJNUSJ","Документы")</f>
        <v>Документы</v>
      </c>
      <c r="T239" s="54"/>
      <c r="U239" s="54"/>
    </row>
    <row r="240" spans="1:21" ht="157.5">
      <c r="A240" s="46">
        <v>227</v>
      </c>
      <c r="B240" s="46" t="s">
        <v>20</v>
      </c>
      <c r="C240" s="46" t="s">
        <v>22</v>
      </c>
      <c r="D240" s="60" t="s">
        <v>21</v>
      </c>
      <c r="E240" s="60" t="s">
        <v>1207</v>
      </c>
      <c r="F240" s="61" t="s">
        <v>1208</v>
      </c>
      <c r="G240" s="61" t="s">
        <v>1209</v>
      </c>
      <c r="H240" s="62" t="s">
        <v>1210</v>
      </c>
      <c r="I240" s="48">
        <v>42783</v>
      </c>
      <c r="J240" s="100">
        <v>2188885.5699999998</v>
      </c>
      <c r="K240" s="100">
        <v>1849372.82</v>
      </c>
      <c r="L240" s="51">
        <v>0</v>
      </c>
      <c r="M240" s="48">
        <v>43252</v>
      </c>
      <c r="N240" s="46" t="s">
        <v>18</v>
      </c>
      <c r="O240" s="46" t="s">
        <v>19</v>
      </c>
      <c r="P240" s="56">
        <v>332600108871</v>
      </c>
      <c r="Q240" s="53" t="s">
        <v>1211</v>
      </c>
      <c r="R240" s="58" t="str">
        <f>HYPERLINK("https://drive.google.com/open?id=1ThF7EMNxczSi1lyWamHmzqhHEflRo5r7","Договор")</f>
        <v>Договор</v>
      </c>
      <c r="S240" s="22" t="str">
        <f>HYPERLINK("https://drive.google.com/open?id=1bXKgSoopqgOgF1LIelGdCOEIbgyMESUZ","Документы")</f>
        <v>Документы</v>
      </c>
      <c r="T240" s="59"/>
      <c r="U240" s="78"/>
    </row>
    <row r="241" spans="1:21" ht="110.25">
      <c r="A241" s="46">
        <v>228</v>
      </c>
      <c r="B241" s="46" t="s">
        <v>20</v>
      </c>
      <c r="C241" s="46" t="s">
        <v>22</v>
      </c>
      <c r="D241" s="60" t="s">
        <v>21</v>
      </c>
      <c r="E241" s="60" t="s">
        <v>1212</v>
      </c>
      <c r="F241" s="61" t="s">
        <v>1213</v>
      </c>
      <c r="G241" s="61" t="s">
        <v>1214</v>
      </c>
      <c r="H241" s="62" t="s">
        <v>1215</v>
      </c>
      <c r="I241" s="48">
        <v>42783</v>
      </c>
      <c r="J241" s="100">
        <v>461629.95</v>
      </c>
      <c r="K241" s="100">
        <v>425822.46</v>
      </c>
      <c r="L241" s="51">
        <v>0</v>
      </c>
      <c r="M241" s="48">
        <v>43252</v>
      </c>
      <c r="N241" s="46" t="s">
        <v>18</v>
      </c>
      <c r="O241" s="46" t="s">
        <v>19</v>
      </c>
      <c r="P241" s="56">
        <v>332600108871</v>
      </c>
      <c r="Q241" s="53" t="s">
        <v>1216</v>
      </c>
      <c r="R241" s="58" t="str">
        <f>HYPERLINK("https://drive.google.com/open?id=1hhHZX2AqvJlUtQ6c6u1h1YusvMPOIwM2","Договор")</f>
        <v>Договор</v>
      </c>
      <c r="S241" s="22" t="str">
        <f>HYPERLINK("https://drive.google.com/open?id=17DxsoBedNMgjvGYm7XjtE9SlU9lMfGlL","Документы")</f>
        <v>Документы</v>
      </c>
      <c r="T241" s="59"/>
      <c r="U241" s="59"/>
    </row>
    <row r="242" spans="1:21" ht="141.75">
      <c r="A242" s="46">
        <v>229</v>
      </c>
      <c r="B242" s="46" t="s">
        <v>20</v>
      </c>
      <c r="C242" s="46" t="s">
        <v>22</v>
      </c>
      <c r="D242" s="60" t="s">
        <v>21</v>
      </c>
      <c r="E242" s="60" t="s">
        <v>1217</v>
      </c>
      <c r="F242" s="61" t="s">
        <v>1218</v>
      </c>
      <c r="G242" s="61" t="s">
        <v>1219</v>
      </c>
      <c r="H242" s="62" t="s">
        <v>1220</v>
      </c>
      <c r="I242" s="48">
        <v>42821</v>
      </c>
      <c r="J242" s="100">
        <v>575641.38</v>
      </c>
      <c r="K242" s="100">
        <v>525756.30000000005</v>
      </c>
      <c r="L242" s="51"/>
      <c r="M242" s="61">
        <v>43252</v>
      </c>
      <c r="N242" s="46" t="s">
        <v>1221</v>
      </c>
      <c r="O242" s="46" t="s">
        <v>1222</v>
      </c>
      <c r="P242" s="56">
        <v>331900039257</v>
      </c>
      <c r="Q242" s="53" t="s">
        <v>1223</v>
      </c>
      <c r="R242" s="58" t="str">
        <f>HYPERLINK("https://drive.google.com/open?id=1HPa2WFiNM47HYzhu_2Do0gI8PipGdPiu","Договор")</f>
        <v>Договор</v>
      </c>
      <c r="S242" s="59"/>
      <c r="T242" s="59"/>
      <c r="U242" s="59"/>
    </row>
    <row r="243" spans="1:21" ht="110.25">
      <c r="A243" s="46">
        <v>230</v>
      </c>
      <c r="B243" s="46" t="s">
        <v>20</v>
      </c>
      <c r="C243" s="46" t="s">
        <v>22</v>
      </c>
      <c r="D243" s="60" t="s">
        <v>21</v>
      </c>
      <c r="E243" s="60" t="s">
        <v>1224</v>
      </c>
      <c r="F243" s="61" t="s">
        <v>1225</v>
      </c>
      <c r="G243" s="61" t="s">
        <v>1226</v>
      </c>
      <c r="H243" s="62" t="s">
        <v>1227</v>
      </c>
      <c r="I243" s="48">
        <v>42821</v>
      </c>
      <c r="J243" s="100">
        <v>2765696.75</v>
      </c>
      <c r="K243" s="100">
        <v>2550779.27</v>
      </c>
      <c r="L243" s="51"/>
      <c r="M243" s="61">
        <v>43279</v>
      </c>
      <c r="N243" s="46" t="s">
        <v>1221</v>
      </c>
      <c r="O243" s="46" t="s">
        <v>1222</v>
      </c>
      <c r="P243" s="56">
        <v>331900039257</v>
      </c>
      <c r="Q243" s="53" t="s">
        <v>1228</v>
      </c>
      <c r="R243" s="58" t="str">
        <f>HYPERLINK("https://drive.google.com/open?id=1TkF_EmhErtERZ5bJoKEF9e7CEg3pFKzl","Договор")</f>
        <v>Договор</v>
      </c>
      <c r="S243" s="59"/>
      <c r="T243" s="59"/>
      <c r="U243" s="59"/>
    </row>
    <row r="244" spans="1:21" ht="120">
      <c r="A244" s="55">
        <v>231</v>
      </c>
      <c r="B244" s="53" t="s">
        <v>20</v>
      </c>
      <c r="C244" s="53" t="s">
        <v>22</v>
      </c>
      <c r="D244" s="70" t="s">
        <v>21</v>
      </c>
      <c r="E244" s="60" t="s">
        <v>1229</v>
      </c>
      <c r="F244" s="39" t="s">
        <v>1230</v>
      </c>
      <c r="G244" s="53" t="s">
        <v>1231</v>
      </c>
      <c r="H244" s="80" t="s">
        <v>1232</v>
      </c>
      <c r="I244" s="86">
        <v>42671</v>
      </c>
      <c r="J244" s="50">
        <v>2440322.5499999998</v>
      </c>
      <c r="K244" s="50">
        <v>2193501.4</v>
      </c>
      <c r="L244" s="85"/>
      <c r="M244" s="87">
        <v>43314</v>
      </c>
      <c r="N244" s="53" t="s">
        <v>613</v>
      </c>
      <c r="O244" s="53" t="s">
        <v>614</v>
      </c>
      <c r="P244" s="55">
        <v>3306008845</v>
      </c>
      <c r="Q244" s="53" t="s">
        <v>1233</v>
      </c>
      <c r="R244" s="58" t="str">
        <f>HYPERLINK("https://drive.google.com/open?id=1HA8vdSbiMeXJU9HUwvtV4DJUN43cMMbp","Договор")</f>
        <v>Договор</v>
      </c>
      <c r="S244" s="22" t="str">
        <f>HYPERLINK("https://drive.google.com/open?id=1euaPgJb5ieQ5RYUZeo2rUDjgyM9ynlVZ","Документы")</f>
        <v>Документы</v>
      </c>
      <c r="T244" s="55"/>
      <c r="U244" s="55"/>
    </row>
    <row r="245" spans="1:21" ht="141.75">
      <c r="A245" s="46">
        <v>232</v>
      </c>
      <c r="B245" s="46" t="s">
        <v>20</v>
      </c>
      <c r="C245" s="46" t="s">
        <v>22</v>
      </c>
      <c r="D245" s="46" t="s">
        <v>21</v>
      </c>
      <c r="E245" s="47" t="s">
        <v>1234</v>
      </c>
      <c r="F245" s="48" t="s">
        <v>1235</v>
      </c>
      <c r="G245" s="48" t="s">
        <v>1236</v>
      </c>
      <c r="H245" s="49" t="s">
        <v>1237</v>
      </c>
      <c r="I245" s="48">
        <v>42671</v>
      </c>
      <c r="J245" s="50">
        <v>2454447.7799999998</v>
      </c>
      <c r="K245" s="50">
        <v>2276374.17</v>
      </c>
      <c r="L245" s="51"/>
      <c r="M245" s="48">
        <v>43234</v>
      </c>
      <c r="N245" s="48" t="s">
        <v>257</v>
      </c>
      <c r="O245" s="46" t="s">
        <v>258</v>
      </c>
      <c r="P245" s="52">
        <v>330700346964</v>
      </c>
      <c r="Q245" s="53" t="s">
        <v>1238</v>
      </c>
      <c r="R245" s="58" t="str">
        <f>HYPERLINK("https://drive.google.com/open?id=1Y46On4NuTpfk3QwgSA-avkbZvpjHeVEl","Договор")</f>
        <v>Договор</v>
      </c>
      <c r="S245" s="22" t="str">
        <f>HYPERLINK("https://drive.google.com/open?id=1dKaaG_7I9RqByv2rTuYFKG8hU9mSpfDi","Документы")</f>
        <v>Документы</v>
      </c>
      <c r="T245" s="54"/>
      <c r="U245" s="54"/>
    </row>
    <row r="246" spans="1:21" ht="94.5">
      <c r="A246" s="46">
        <v>233</v>
      </c>
      <c r="B246" s="46" t="s">
        <v>20</v>
      </c>
      <c r="C246" s="46" t="s">
        <v>22</v>
      </c>
      <c r="D246" s="46" t="s">
        <v>21</v>
      </c>
      <c r="E246" s="47" t="s">
        <v>1239</v>
      </c>
      <c r="F246" s="48" t="s">
        <v>1240</v>
      </c>
      <c r="G246" s="48" t="s">
        <v>1241</v>
      </c>
      <c r="H246" s="90" t="s">
        <v>1242</v>
      </c>
      <c r="I246" s="48">
        <v>42779</v>
      </c>
      <c r="J246" s="50">
        <v>69991.8</v>
      </c>
      <c r="K246" s="97">
        <v>59315.08</v>
      </c>
      <c r="L246" s="51"/>
      <c r="M246" s="48" t="s">
        <v>73</v>
      </c>
      <c r="N246" s="48" t="s">
        <v>173</v>
      </c>
      <c r="O246" s="46" t="s">
        <v>174</v>
      </c>
      <c r="P246" s="52">
        <v>4345265453</v>
      </c>
      <c r="Q246" s="53" t="s">
        <v>1243</v>
      </c>
      <c r="R246" s="58" t="str">
        <f>HYPERLINK("https://drive.google.com/open?id=17slVYqPsFeWIOLsUc6cmrJ4PROblFIQ2","Договор")</f>
        <v>Договор</v>
      </c>
      <c r="S246" s="22" t="str">
        <f>HYPERLINK("https://drive.google.com/open?id=10ym07g6Hw6V2LfYpKOo9iczg1SKrfke8","Документы")</f>
        <v>Документы</v>
      </c>
      <c r="T246" s="46"/>
      <c r="U246" s="5"/>
    </row>
    <row r="247" spans="1:21" ht="110.25">
      <c r="A247" s="46">
        <v>234</v>
      </c>
      <c r="B247" s="46" t="s">
        <v>20</v>
      </c>
      <c r="C247" s="46" t="s">
        <v>22</v>
      </c>
      <c r="D247" s="46" t="s">
        <v>21</v>
      </c>
      <c r="E247" s="47" t="s">
        <v>1244</v>
      </c>
      <c r="F247" s="48" t="s">
        <v>1245</v>
      </c>
      <c r="G247" s="48" t="s">
        <v>1246</v>
      </c>
      <c r="H247" s="49" t="s">
        <v>1247</v>
      </c>
      <c r="I247" s="48">
        <v>42793</v>
      </c>
      <c r="J247" s="50">
        <v>4800000.9000000004</v>
      </c>
      <c r="K247" s="50">
        <v>4415561.59</v>
      </c>
      <c r="L247" s="51"/>
      <c r="M247" s="48">
        <v>43322</v>
      </c>
      <c r="N247" s="48" t="s">
        <v>115</v>
      </c>
      <c r="O247" s="46" t="s">
        <v>116</v>
      </c>
      <c r="P247" s="52">
        <v>3326000435</v>
      </c>
      <c r="Q247" s="53" t="s">
        <v>1248</v>
      </c>
      <c r="R247" s="58" t="str">
        <f>HYPERLINK("https://drive.google.com/open?id=1NKncoBm3AVt-agl58V8lYLFmMPmx7miO","Договор")</f>
        <v>Договор</v>
      </c>
      <c r="S247" s="54"/>
      <c r="T247" s="54"/>
      <c r="U247" s="54"/>
    </row>
    <row r="248" spans="1:21" ht="94.5">
      <c r="A248" s="46">
        <v>235</v>
      </c>
      <c r="B248" s="46" t="s">
        <v>20</v>
      </c>
      <c r="C248" s="46" t="s">
        <v>22</v>
      </c>
      <c r="D248" s="46" t="s">
        <v>21</v>
      </c>
      <c r="E248" s="46" t="s">
        <v>1249</v>
      </c>
      <c r="F248" s="48" t="s">
        <v>1250</v>
      </c>
      <c r="G248" s="48" t="s">
        <v>1251</v>
      </c>
      <c r="H248" s="49" t="s">
        <v>1252</v>
      </c>
      <c r="I248" s="48">
        <v>42793</v>
      </c>
      <c r="J248" s="50">
        <v>1523852.08</v>
      </c>
      <c r="K248" s="50">
        <v>1523852.08</v>
      </c>
      <c r="L248" s="51"/>
      <c r="M248" s="48">
        <v>43271</v>
      </c>
      <c r="N248" s="48" t="s">
        <v>223</v>
      </c>
      <c r="O248" s="46" t="s">
        <v>224</v>
      </c>
      <c r="P248" s="52">
        <v>3327839216</v>
      </c>
      <c r="Q248" s="53"/>
      <c r="R248" s="58" t="str">
        <f>HYPERLINK("https://drive.google.com/open?id=11YKbfrq70Q1Tyq8XTwTSGvP_QPjzisv3","Договор")</f>
        <v>Договор</v>
      </c>
      <c r="S248" s="54"/>
      <c r="T248" s="54"/>
      <c r="U248" s="54"/>
    </row>
    <row r="249" spans="1:21" ht="141.75">
      <c r="A249" s="46">
        <v>236</v>
      </c>
      <c r="B249" s="46" t="s">
        <v>20</v>
      </c>
      <c r="C249" s="46" t="s">
        <v>22</v>
      </c>
      <c r="D249" s="46" t="s">
        <v>21</v>
      </c>
      <c r="E249" s="46" t="s">
        <v>1253</v>
      </c>
      <c r="F249" s="48" t="s">
        <v>1250</v>
      </c>
      <c r="G249" s="48" t="s">
        <v>1254</v>
      </c>
      <c r="H249" s="49" t="s">
        <v>1255</v>
      </c>
      <c r="I249" s="48">
        <v>43090</v>
      </c>
      <c r="J249" s="50">
        <v>2138760.2200000002</v>
      </c>
      <c r="K249" s="50">
        <v>1969703.2</v>
      </c>
      <c r="L249" s="51"/>
      <c r="M249" s="48">
        <v>43291</v>
      </c>
      <c r="N249" s="48" t="s">
        <v>1256</v>
      </c>
      <c r="O249" s="46" t="s">
        <v>1257</v>
      </c>
      <c r="P249" s="52">
        <v>332704047856</v>
      </c>
      <c r="Q249" s="53" t="s">
        <v>1258</v>
      </c>
      <c r="R249" s="58" t="str">
        <f>HYPERLINK("https://drive.google.com/open?id=1ATGT-NeRqb5slIkkuiBDeGNKZ1HppDwT","Договор")</f>
        <v>Договор</v>
      </c>
      <c r="S249" s="54"/>
      <c r="T249" s="54"/>
      <c r="U249" s="54"/>
    </row>
    <row r="250" spans="1:21" ht="94.5">
      <c r="A250" s="46">
        <v>237</v>
      </c>
      <c r="B250" s="46" t="s">
        <v>20</v>
      </c>
      <c r="C250" s="46" t="s">
        <v>22</v>
      </c>
      <c r="D250" s="46" t="s">
        <v>21</v>
      </c>
      <c r="E250" s="46" t="s">
        <v>1259</v>
      </c>
      <c r="F250" s="48" t="s">
        <v>1260</v>
      </c>
      <c r="G250" s="48" t="s">
        <v>1261</v>
      </c>
      <c r="H250" s="49" t="s">
        <v>1262</v>
      </c>
      <c r="I250" s="48">
        <v>42671</v>
      </c>
      <c r="J250" s="50">
        <v>3876620.3</v>
      </c>
      <c r="K250" s="50">
        <v>3876620.3</v>
      </c>
      <c r="L250" s="51">
        <v>0</v>
      </c>
      <c r="M250" s="48">
        <v>43353</v>
      </c>
      <c r="N250" s="48" t="s">
        <v>53</v>
      </c>
      <c r="O250" s="46" t="s">
        <v>54</v>
      </c>
      <c r="P250" s="52">
        <v>3329058867</v>
      </c>
      <c r="Q250" s="53"/>
      <c r="R250" s="58" t="str">
        <f>HYPERLINK("https://drive.google.com/open?id=1sNIDufPx-DyrG_lJftbhqt_Rl7XegnWA","Договор")</f>
        <v>Договор</v>
      </c>
      <c r="S250" s="54"/>
      <c r="T250" s="54"/>
      <c r="U250" s="54"/>
    </row>
    <row r="251" spans="1:21" ht="94.5">
      <c r="A251" s="46">
        <v>238</v>
      </c>
      <c r="B251" s="46" t="s">
        <v>20</v>
      </c>
      <c r="C251" s="46" t="s">
        <v>22</v>
      </c>
      <c r="D251" s="46" t="s">
        <v>21</v>
      </c>
      <c r="E251" s="47" t="s">
        <v>1273</v>
      </c>
      <c r="F251" s="48" t="s">
        <v>1274</v>
      </c>
      <c r="G251" s="48" t="s">
        <v>1275</v>
      </c>
      <c r="H251" s="90" t="s">
        <v>1009</v>
      </c>
      <c r="I251" s="48">
        <v>42779</v>
      </c>
      <c r="J251" s="50">
        <v>134897.70000000001</v>
      </c>
      <c r="K251" s="97">
        <v>114320.09</v>
      </c>
      <c r="L251" s="51"/>
      <c r="M251" s="48" t="s">
        <v>1276</v>
      </c>
      <c r="N251" s="48" t="s">
        <v>173</v>
      </c>
      <c r="O251" s="46" t="s">
        <v>174</v>
      </c>
      <c r="P251" s="52">
        <v>4345265453</v>
      </c>
      <c r="Q251" s="53" t="s">
        <v>1277</v>
      </c>
      <c r="R251" s="58" t="str">
        <f>HYPERLINK("https://drive.google.com/open?id=1JHEVk8uzREz672HpGtqrhYeF60QXEK90","Договор")</f>
        <v>Договор</v>
      </c>
      <c r="S251" s="22" t="str">
        <f>HYPERLINK("https://drive.google.com/open?id=17VXFYU-PAQ9zUoZHcSMgswxmPBfIKDLi","Документы")</f>
        <v>Документы</v>
      </c>
      <c r="T251" s="46"/>
      <c r="U251" s="54"/>
    </row>
    <row r="252" spans="1:21" ht="110.25">
      <c r="A252" s="46">
        <v>239</v>
      </c>
      <c r="B252" s="46" t="s">
        <v>20</v>
      </c>
      <c r="C252" s="46" t="s">
        <v>22</v>
      </c>
      <c r="D252" s="46" t="s">
        <v>21</v>
      </c>
      <c r="E252" s="46" t="s">
        <v>1263</v>
      </c>
      <c r="F252" s="48" t="s">
        <v>1264</v>
      </c>
      <c r="G252" s="48" t="s">
        <v>1265</v>
      </c>
      <c r="H252" s="46" t="s">
        <v>1266</v>
      </c>
      <c r="I252" s="48">
        <v>42793</v>
      </c>
      <c r="J252" s="50">
        <v>4662818.16</v>
      </c>
      <c r="K252" s="102">
        <v>4295091.0999999996</v>
      </c>
      <c r="L252" s="85"/>
      <c r="M252" s="48">
        <v>43287</v>
      </c>
      <c r="N252" s="46" t="s">
        <v>26</v>
      </c>
      <c r="O252" s="46" t="s">
        <v>28</v>
      </c>
      <c r="P252" s="103">
        <v>3316002190</v>
      </c>
      <c r="Q252" s="53" t="s">
        <v>1267</v>
      </c>
      <c r="R252" s="58" t="str">
        <f>HYPERLINK("https://drive.google.com/open?id=1bT6r7Eog44_SsUzDSFXWBJaZGJBy2A3U","Договор")</f>
        <v>Договор</v>
      </c>
      <c r="S252" s="22" t="str">
        <f>HYPERLINK("https://drive.google.com/open?id=1WWBwMWp0ev393D2CviJQuEV5V3-ZWIZc","Документы")</f>
        <v>Документы</v>
      </c>
      <c r="T252" s="104"/>
      <c r="U252" s="104"/>
    </row>
    <row r="253" spans="1:21" ht="94.5">
      <c r="A253" s="46">
        <v>240</v>
      </c>
      <c r="B253" s="46" t="s">
        <v>20</v>
      </c>
      <c r="C253" s="46" t="s">
        <v>22</v>
      </c>
      <c r="D253" s="46" t="s">
        <v>21</v>
      </c>
      <c r="E253" s="46" t="s">
        <v>1268</v>
      </c>
      <c r="F253" s="48" t="s">
        <v>1269</v>
      </c>
      <c r="G253" s="48" t="s">
        <v>1270</v>
      </c>
      <c r="H253" s="48" t="s">
        <v>1271</v>
      </c>
      <c r="I253" s="48">
        <v>42793</v>
      </c>
      <c r="J253" s="50">
        <v>1675171.98</v>
      </c>
      <c r="K253" s="50">
        <v>1476633.51</v>
      </c>
      <c r="L253" s="51"/>
      <c r="M253" s="48">
        <v>43291</v>
      </c>
      <c r="N253" s="48" t="s">
        <v>48</v>
      </c>
      <c r="O253" s="46" t="s">
        <v>756</v>
      </c>
      <c r="P253" s="52">
        <v>332708060752</v>
      </c>
      <c r="Q253" s="53" t="s">
        <v>1272</v>
      </c>
      <c r="R253" s="58" t="str">
        <f>HYPERLINK("https://drive.google.com/open?id=1KZzz0RQIuVdOf8dUeubnKuP7hHinaHtU","Договор")</f>
        <v>Договор</v>
      </c>
      <c r="S253" s="54"/>
      <c r="T253" s="54"/>
      <c r="U253" s="54"/>
    </row>
    <row r="254" spans="1:21" ht="94.5">
      <c r="A254" s="46">
        <v>241</v>
      </c>
      <c r="B254" s="46" t="s">
        <v>20</v>
      </c>
      <c r="C254" s="46" t="s">
        <v>22</v>
      </c>
      <c r="D254" s="46" t="s">
        <v>21</v>
      </c>
      <c r="E254" s="47" t="s">
        <v>1278</v>
      </c>
      <c r="F254" s="48" t="s">
        <v>1279</v>
      </c>
      <c r="G254" s="48" t="s">
        <v>1280</v>
      </c>
      <c r="H254" s="90" t="s">
        <v>1281</v>
      </c>
      <c r="I254" s="48">
        <v>42779</v>
      </c>
      <c r="J254" s="50">
        <v>784255.76</v>
      </c>
      <c r="K254" s="97">
        <v>634115.06000000006</v>
      </c>
      <c r="L254" s="51"/>
      <c r="M254" s="48" t="s">
        <v>988</v>
      </c>
      <c r="N254" s="48" t="s">
        <v>173</v>
      </c>
      <c r="O254" s="46" t="s">
        <v>174</v>
      </c>
      <c r="P254" s="52">
        <v>4345265453</v>
      </c>
      <c r="Q254" s="53" t="s">
        <v>1282</v>
      </c>
      <c r="R254" s="58" t="str">
        <f>HYPERLINK("https://drive.google.com/open?id=1qRUfkd5MmtvxKDxRll8_xpZd-VktuDde","Договор")</f>
        <v>Договор</v>
      </c>
      <c r="S254" s="22" t="str">
        <f>HYPERLINK("https://drive.google.com/open?id=1aizHBXE5wc5HT97fe2Qo7IevooVJ_5yV","Документы")</f>
        <v>Документы</v>
      </c>
      <c r="T254" s="46"/>
      <c r="U254" s="54"/>
    </row>
    <row r="255" spans="1:21" s="40" customFormat="1" ht="157.5">
      <c r="A255" s="47">
        <v>242</v>
      </c>
      <c r="B255" s="47" t="s">
        <v>20</v>
      </c>
      <c r="C255" s="47" t="s">
        <v>22</v>
      </c>
      <c r="D255" s="47" t="s">
        <v>21</v>
      </c>
      <c r="E255" s="47" t="s">
        <v>1283</v>
      </c>
      <c r="F255" s="39" t="s">
        <v>1284</v>
      </c>
      <c r="G255" s="39" t="s">
        <v>1285</v>
      </c>
      <c r="H255" s="39" t="s">
        <v>1286</v>
      </c>
      <c r="I255" s="39">
        <v>42793</v>
      </c>
      <c r="J255" s="97">
        <v>5427207.1399999997</v>
      </c>
      <c r="K255" s="97">
        <v>5013582.71</v>
      </c>
      <c r="L255" s="105"/>
      <c r="M255" s="39">
        <v>43291</v>
      </c>
      <c r="N255" s="39" t="s">
        <v>1287</v>
      </c>
      <c r="O255" s="47" t="s">
        <v>1288</v>
      </c>
      <c r="P255" s="106">
        <v>3327118743</v>
      </c>
      <c r="Q255" s="101" t="s">
        <v>1289</v>
      </c>
      <c r="R255" s="107" t="str">
        <f>HYPERLINK("https://drive.google.com/open?id=1daS7iUm-JifMR03TfVDAVCOxBP_d-KPM","Договор")</f>
        <v>Договор</v>
      </c>
      <c r="S255" s="22" t="str">
        <f>HYPERLINK("https://drive.google.com/open?id=1lYfWD4jNS1M99qoXsbLIsh8AZ7TNZyQO","Документы")</f>
        <v>Документы</v>
      </c>
      <c r="T255" s="108"/>
      <c r="U255" s="108"/>
    </row>
    <row r="256" spans="1:21" s="111" customFormat="1" ht="94.5">
      <c r="A256" s="60">
        <v>243</v>
      </c>
      <c r="B256" s="60" t="s">
        <v>20</v>
      </c>
      <c r="C256" s="60" t="s">
        <v>22</v>
      </c>
      <c r="D256" s="60" t="s">
        <v>21</v>
      </c>
      <c r="E256" s="60" t="s">
        <v>1290</v>
      </c>
      <c r="F256" s="61" t="s">
        <v>1291</v>
      </c>
      <c r="G256" s="61" t="s">
        <v>1292</v>
      </c>
      <c r="H256" s="109" t="s">
        <v>1242</v>
      </c>
      <c r="I256" s="61">
        <v>42844</v>
      </c>
      <c r="J256" s="63">
        <v>181870.86</v>
      </c>
      <c r="K256" s="63">
        <v>154127.85</v>
      </c>
      <c r="L256" s="64"/>
      <c r="M256" s="61" t="s">
        <v>1017</v>
      </c>
      <c r="N256" s="61" t="s">
        <v>74</v>
      </c>
      <c r="O256" s="60" t="s">
        <v>75</v>
      </c>
      <c r="P256" s="65">
        <v>4345342965</v>
      </c>
      <c r="Q256" s="70" t="s">
        <v>1293</v>
      </c>
      <c r="R256" s="110" t="str">
        <f t="shared" ref="R256:R259" si="0">HYPERLINK("https://drive.google.com/open?id=1Y2JpZg9uIYZ0ff9mpGdmR7If06XRuIHh","Договор")</f>
        <v>Договор</v>
      </c>
      <c r="S256" s="60"/>
      <c r="T256" s="60"/>
      <c r="U256" s="112"/>
    </row>
    <row r="257" spans="1:21" ht="91.5" customHeight="1">
      <c r="A257" s="46">
        <v>244</v>
      </c>
      <c r="B257" s="46" t="s">
        <v>20</v>
      </c>
      <c r="C257" s="46" t="s">
        <v>22</v>
      </c>
      <c r="D257" s="46" t="s">
        <v>21</v>
      </c>
      <c r="E257" s="46" t="s">
        <v>1294</v>
      </c>
      <c r="F257" s="48" t="s">
        <v>1295</v>
      </c>
      <c r="G257" s="48" t="s">
        <v>1296</v>
      </c>
      <c r="H257" s="46" t="s">
        <v>1297</v>
      </c>
      <c r="I257" s="48">
        <v>42793</v>
      </c>
      <c r="J257" s="50">
        <v>5534374.6399999997</v>
      </c>
      <c r="K257" s="102">
        <v>5107228.04</v>
      </c>
      <c r="L257" s="85"/>
      <c r="M257" s="48">
        <v>43307</v>
      </c>
      <c r="N257" s="46" t="s">
        <v>26</v>
      </c>
      <c r="O257" s="46" t="s">
        <v>28</v>
      </c>
      <c r="P257" s="103">
        <v>3316002190</v>
      </c>
      <c r="Q257" s="53" t="s">
        <v>1298</v>
      </c>
      <c r="R257" s="58" t="str">
        <f>HYPERLINK("https://drive.google.com/open?id=1A-i8ghIRWwOPMWvOeKKJ5TKr7ZnfqZFI","Договор")</f>
        <v>Договор</v>
      </c>
      <c r="S257" s="22" t="str">
        <f>HYPERLINK("https://drive.google.com/open?id=1xnKCQB_8oRtnAl2WQtbgs40kyBuHUnxY","Документы")</f>
        <v>Документы</v>
      </c>
      <c r="T257" s="104"/>
      <c r="U257" s="104"/>
    </row>
    <row r="258" spans="1:21" ht="162" customHeight="1">
      <c r="A258" s="46">
        <v>245</v>
      </c>
      <c r="B258" s="46" t="s">
        <v>20</v>
      </c>
      <c r="C258" s="46" t="s">
        <v>22</v>
      </c>
      <c r="D258" s="46" t="s">
        <v>21</v>
      </c>
      <c r="E258" s="47" t="s">
        <v>1299</v>
      </c>
      <c r="F258" s="48" t="s">
        <v>1300</v>
      </c>
      <c r="G258" s="48" t="s">
        <v>1301</v>
      </c>
      <c r="H258" s="48" t="s">
        <v>1302</v>
      </c>
      <c r="I258" s="48">
        <v>42671</v>
      </c>
      <c r="J258" s="50">
        <v>4750096.67</v>
      </c>
      <c r="K258" s="50">
        <v>4408951.8899999997</v>
      </c>
      <c r="L258" s="51"/>
      <c r="M258" s="48">
        <v>43234</v>
      </c>
      <c r="N258" s="48" t="s">
        <v>257</v>
      </c>
      <c r="O258" s="46" t="s">
        <v>258</v>
      </c>
      <c r="P258" s="52">
        <v>330700346964</v>
      </c>
      <c r="Q258" s="53" t="s">
        <v>1303</v>
      </c>
      <c r="R258" s="58" t="str">
        <f>HYPERLINK("https://drive.google.com/open?id=1fO4c81wLwfRafOk08oiZcVQ7NIIz_nB1","Договор")</f>
        <v>Договор</v>
      </c>
      <c r="S258" s="22" t="str">
        <f>HYPERLINK("https://drive.google.com/open?id=1TvT2K4bR8IxNpLTEzZtzoyh7bHI_CvBo","Документы")</f>
        <v>Документы</v>
      </c>
      <c r="T258" s="54"/>
      <c r="U258" s="54"/>
    </row>
    <row r="259" spans="1:21" ht="94.5">
      <c r="A259" s="46">
        <v>246</v>
      </c>
      <c r="B259" s="46" t="s">
        <v>20</v>
      </c>
      <c r="C259" s="46" t="s">
        <v>22</v>
      </c>
      <c r="D259" s="46" t="s">
        <v>21</v>
      </c>
      <c r="E259" s="47" t="s">
        <v>1304</v>
      </c>
      <c r="F259" s="48" t="s">
        <v>1305</v>
      </c>
      <c r="G259" s="48" t="s">
        <v>1306</v>
      </c>
      <c r="H259" s="90" t="s">
        <v>1009</v>
      </c>
      <c r="I259" s="48">
        <v>42779</v>
      </c>
      <c r="J259" s="50">
        <v>193754.54</v>
      </c>
      <c r="K259" s="97">
        <v>146284.81</v>
      </c>
      <c r="L259" s="51"/>
      <c r="M259" s="48" t="s">
        <v>91</v>
      </c>
      <c r="N259" s="48" t="s">
        <v>173</v>
      </c>
      <c r="O259" s="46" t="s">
        <v>174</v>
      </c>
      <c r="P259" s="52">
        <v>4345265453</v>
      </c>
      <c r="Q259" s="53" t="s">
        <v>1307</v>
      </c>
      <c r="R259" s="58" t="str">
        <f t="shared" si="0"/>
        <v>Договор</v>
      </c>
      <c r="S259" s="22" t="str">
        <f>HYPERLINK("https://drive.google.com/open?id=1FgiVnOL6CIlyF8sfj2jNNdsd1B45K4DR","Документы")</f>
        <v>Документы</v>
      </c>
      <c r="T259" s="46"/>
      <c r="U259" s="54"/>
    </row>
    <row r="260" spans="1:21" ht="94.5" customHeight="1">
      <c r="A260" s="46">
        <v>247</v>
      </c>
      <c r="B260" s="46" t="s">
        <v>20</v>
      </c>
      <c r="C260" s="46" t="s">
        <v>22</v>
      </c>
      <c r="D260" s="46" t="s">
        <v>21</v>
      </c>
      <c r="E260" s="47" t="s">
        <v>1308</v>
      </c>
      <c r="F260" s="48" t="s">
        <v>1309</v>
      </c>
      <c r="G260" s="48" t="s">
        <v>1310</v>
      </c>
      <c r="H260" s="90" t="s">
        <v>1311</v>
      </c>
      <c r="I260" s="79">
        <v>42793</v>
      </c>
      <c r="J260" s="50">
        <v>5103601.5199999996</v>
      </c>
      <c r="K260" s="97">
        <v>5103601.5199999996</v>
      </c>
      <c r="L260" s="51"/>
      <c r="M260" s="92" t="s">
        <v>1312</v>
      </c>
      <c r="N260" s="48" t="s">
        <v>513</v>
      </c>
      <c r="O260" s="92" t="s">
        <v>801</v>
      </c>
      <c r="P260" s="52">
        <v>3308004490</v>
      </c>
      <c r="Q260" s="46"/>
      <c r="R260" s="58" t="str">
        <f>HYPERLINK("https://drive.google.com/open?id=1DAIZjZI9-KsFuh3mVpY81n2iLBD7QWtN","Договор")</f>
        <v>Договор</v>
      </c>
      <c r="S260" s="46"/>
      <c r="T260" s="46"/>
      <c r="U260" s="101"/>
    </row>
    <row r="261" spans="1:21" ht="94.5">
      <c r="A261" s="55">
        <v>248</v>
      </c>
      <c r="B261" s="53" t="s">
        <v>20</v>
      </c>
      <c r="C261" s="53" t="s">
        <v>22</v>
      </c>
      <c r="D261" s="70" t="s">
        <v>21</v>
      </c>
      <c r="E261" s="47" t="s">
        <v>1313</v>
      </c>
      <c r="F261" s="39" t="s">
        <v>1314</v>
      </c>
      <c r="G261" s="53" t="s">
        <v>1315</v>
      </c>
      <c r="H261" s="80" t="s">
        <v>1316</v>
      </c>
      <c r="I261" s="86">
        <v>42885</v>
      </c>
      <c r="J261" s="50">
        <v>4440622.9800000004</v>
      </c>
      <c r="K261" s="50">
        <v>4048760.25</v>
      </c>
      <c r="L261" s="85"/>
      <c r="M261" s="87">
        <v>43325</v>
      </c>
      <c r="N261" s="53" t="s">
        <v>624</v>
      </c>
      <c r="O261" s="53" t="s">
        <v>625</v>
      </c>
      <c r="P261" s="55">
        <v>3328457763</v>
      </c>
      <c r="Q261" s="53" t="s">
        <v>1317</v>
      </c>
      <c r="R261" s="58" t="str">
        <f>HYPERLINK("https://drive.google.com/open?id=1-C18uXNJAc14-9RoageqEKAzJBVYMKAc","Договор")</f>
        <v>Договор</v>
      </c>
      <c r="S261" s="22" t="str">
        <f>HYPERLINK("https://drive.google.com/open?id=1_6dON5m5-24GACieIxLlrTfiZofTbEGp","Документы")</f>
        <v>Документы</v>
      </c>
      <c r="T261" s="55"/>
      <c r="U261" s="55"/>
    </row>
    <row r="262" spans="1:21" ht="94.5">
      <c r="A262" s="55">
        <v>249</v>
      </c>
      <c r="B262" s="53" t="s">
        <v>20</v>
      </c>
      <c r="C262" s="53" t="s">
        <v>22</v>
      </c>
      <c r="D262" s="70" t="s">
        <v>21</v>
      </c>
      <c r="E262" s="47" t="s">
        <v>1318</v>
      </c>
      <c r="F262" s="39" t="s">
        <v>1319</v>
      </c>
      <c r="G262" s="53" t="s">
        <v>1320</v>
      </c>
      <c r="H262" s="80" t="s">
        <v>1321</v>
      </c>
      <c r="I262" s="86">
        <v>43208</v>
      </c>
      <c r="J262" s="50">
        <v>3433246.73</v>
      </c>
      <c r="K262" s="50">
        <v>3193936.12</v>
      </c>
      <c r="L262" s="85"/>
      <c r="M262" s="87">
        <v>43325</v>
      </c>
      <c r="N262" s="53" t="s">
        <v>1322</v>
      </c>
      <c r="O262" s="53" t="s">
        <v>1323</v>
      </c>
      <c r="P262" s="55">
        <v>3326012409</v>
      </c>
      <c r="Q262" s="53" t="s">
        <v>1324</v>
      </c>
      <c r="R262" s="58" t="str">
        <f>HYPERLINK("https://drive.google.com/open?id=1Re_ZxjSDmWdJIgGDJdpzJ3KZBy8ZjB4F","Договор")</f>
        <v>Договор</v>
      </c>
      <c r="S262" s="22" t="str">
        <f>HYPERLINK("https://drive.google.com/open?id=1DN0o1U4FqqyKXupIRr3afUARdc0GM41V","Документы")</f>
        <v>Документы</v>
      </c>
      <c r="T262" s="55"/>
      <c r="U262" s="55"/>
    </row>
    <row r="263" spans="1:21" ht="126">
      <c r="A263" s="46">
        <v>250</v>
      </c>
      <c r="B263" s="46" t="s">
        <v>20</v>
      </c>
      <c r="C263" s="46" t="s">
        <v>22</v>
      </c>
      <c r="D263" s="46" t="s">
        <v>21</v>
      </c>
      <c r="E263" s="46" t="s">
        <v>1325</v>
      </c>
      <c r="F263" s="48" t="s">
        <v>1326</v>
      </c>
      <c r="G263" s="48" t="s">
        <v>1327</v>
      </c>
      <c r="H263" s="49" t="s">
        <v>1328</v>
      </c>
      <c r="I263" s="48">
        <v>42783</v>
      </c>
      <c r="J263" s="50">
        <v>2211894.98</v>
      </c>
      <c r="K263" s="50">
        <v>2200835.5099999998</v>
      </c>
      <c r="L263" s="51"/>
      <c r="M263" s="48">
        <v>43465</v>
      </c>
      <c r="N263" s="48" t="s">
        <v>110</v>
      </c>
      <c r="O263" s="46" t="s">
        <v>111</v>
      </c>
      <c r="P263" s="52">
        <v>3301023367</v>
      </c>
      <c r="Q263" s="96"/>
      <c r="R263" s="58" t="str">
        <f>HYPERLINK("https://drive.google.com/open?id=1izzzBpiJ1XVQelleIP7IJOXcZsDCGpba","Договор")</f>
        <v>Договор</v>
      </c>
      <c r="S263" s="22" t="str">
        <f>HYPERLINK("https://drive.google.com/open?id=1rPaeetYi3yICsuI526dNvK8JMhNf4MJ8","Документы")</f>
        <v>Документы</v>
      </c>
      <c r="T263" s="54"/>
      <c r="U263" s="54"/>
    </row>
    <row r="264" spans="1:21" ht="110.25">
      <c r="A264" s="46">
        <v>251</v>
      </c>
      <c r="B264" s="46" t="s">
        <v>20</v>
      </c>
      <c r="C264" s="46" t="s">
        <v>22</v>
      </c>
      <c r="D264" s="46" t="s">
        <v>21</v>
      </c>
      <c r="E264" s="46" t="s">
        <v>1329</v>
      </c>
      <c r="F264" s="48" t="s">
        <v>1326</v>
      </c>
      <c r="G264" s="48" t="s">
        <v>1330</v>
      </c>
      <c r="H264" s="49" t="s">
        <v>1331</v>
      </c>
      <c r="I264" s="48">
        <v>42783</v>
      </c>
      <c r="J264" s="50">
        <v>2053904.2</v>
      </c>
      <c r="K264" s="50">
        <v>2043634.68</v>
      </c>
      <c r="L264" s="51"/>
      <c r="M264" s="48">
        <v>43465</v>
      </c>
      <c r="N264" s="48" t="s">
        <v>110</v>
      </c>
      <c r="O264" s="46" t="s">
        <v>111</v>
      </c>
      <c r="P264" s="52">
        <v>3301023367</v>
      </c>
      <c r="Q264" s="96"/>
      <c r="R264" s="58" t="str">
        <f>HYPERLINK("https://drive.google.com/open?id=1J8NDyhp10HUQ3vk00_-JoAH56CGuCd4_","Договор")</f>
        <v>Договор</v>
      </c>
      <c r="S264" s="54"/>
      <c r="T264" s="54"/>
      <c r="U264" s="54"/>
    </row>
    <row r="265" spans="1:21" ht="162" customHeight="1">
      <c r="A265" s="46">
        <v>252</v>
      </c>
      <c r="B265" s="46" t="s">
        <v>20</v>
      </c>
      <c r="C265" s="46" t="s">
        <v>22</v>
      </c>
      <c r="D265" s="46" t="s">
        <v>21</v>
      </c>
      <c r="E265" s="47" t="s">
        <v>1332</v>
      </c>
      <c r="F265" s="48" t="s">
        <v>1333</v>
      </c>
      <c r="G265" s="48" t="s">
        <v>1334</v>
      </c>
      <c r="H265" s="48" t="s">
        <v>1335</v>
      </c>
      <c r="I265" s="48">
        <v>42671</v>
      </c>
      <c r="J265" s="50">
        <v>23128894.690000001</v>
      </c>
      <c r="K265" s="50">
        <v>23128894.690000001</v>
      </c>
      <c r="L265" s="51"/>
      <c r="M265" s="48">
        <v>43373</v>
      </c>
      <c r="N265" s="48" t="s">
        <v>257</v>
      </c>
      <c r="O265" s="46" t="s">
        <v>258</v>
      </c>
      <c r="P265" s="52">
        <v>330700346964</v>
      </c>
      <c r="Q265" s="53"/>
      <c r="R265" s="58" t="str">
        <f>HYPERLINK("https://drive.google.com/open?id=1oo_QlxAevhwr5dzP_a7zuFocuAt1pcKg","Договор")</f>
        <v>Договор</v>
      </c>
      <c r="S265" s="54"/>
      <c r="T265" s="54"/>
      <c r="U265" s="54"/>
    </row>
    <row r="266" spans="1:21" ht="162" customHeight="1">
      <c r="A266" s="46">
        <v>253</v>
      </c>
      <c r="B266" s="46" t="s">
        <v>20</v>
      </c>
      <c r="C266" s="46" t="s">
        <v>22</v>
      </c>
      <c r="D266" s="46" t="s">
        <v>21</v>
      </c>
      <c r="E266" s="47" t="s">
        <v>1336</v>
      </c>
      <c r="F266" s="48" t="s">
        <v>1337</v>
      </c>
      <c r="G266" s="48" t="s">
        <v>1338</v>
      </c>
      <c r="H266" s="48" t="s">
        <v>1339</v>
      </c>
      <c r="I266" s="48">
        <v>43090</v>
      </c>
      <c r="J266" s="50">
        <v>17419116.699999999</v>
      </c>
      <c r="K266" s="50">
        <v>17419116.699999999</v>
      </c>
      <c r="L266" s="51"/>
      <c r="M266" s="48">
        <v>43403</v>
      </c>
      <c r="N266" s="48" t="s">
        <v>1340</v>
      </c>
      <c r="O266" s="46" t="s">
        <v>1341</v>
      </c>
      <c r="P266" s="52">
        <v>3306014207</v>
      </c>
      <c r="Q266" s="53"/>
      <c r="R266" s="58" t="str">
        <f>HYPERLINK("https://drive.google.com/open?id=18DfwaAoSG5dto517hHEkEzAGWfhhLWGh","Договор")</f>
        <v>Договор</v>
      </c>
      <c r="S266" s="22" t="str">
        <f>HYPERLINK("https://drive.google.com/open?id=1rnFgnNl4-33f_fiBOicHY6ZDaNbu7arU","Документы")</f>
        <v>Документы</v>
      </c>
      <c r="T266" s="54"/>
      <c r="U266" s="54"/>
    </row>
    <row r="267" spans="1:21" ht="110.25">
      <c r="A267" s="46">
        <v>254</v>
      </c>
      <c r="B267" s="46" t="s">
        <v>20</v>
      </c>
      <c r="C267" s="46" t="s">
        <v>22</v>
      </c>
      <c r="D267" s="46" t="s">
        <v>21</v>
      </c>
      <c r="E267" s="46" t="s">
        <v>1342</v>
      </c>
      <c r="F267" s="48" t="s">
        <v>1343</v>
      </c>
      <c r="G267" s="48" t="s">
        <v>1344</v>
      </c>
      <c r="H267" s="49" t="s">
        <v>1345</v>
      </c>
      <c r="I267" s="48">
        <v>43117</v>
      </c>
      <c r="J267" s="50">
        <v>1415419</v>
      </c>
      <c r="K267" s="50">
        <v>1408341.91</v>
      </c>
      <c r="L267" s="51"/>
      <c r="M267" s="48">
        <v>43465</v>
      </c>
      <c r="N267" s="48" t="s">
        <v>1346</v>
      </c>
      <c r="O267" s="46" t="s">
        <v>1347</v>
      </c>
      <c r="P267" s="52">
        <v>3257022033</v>
      </c>
      <c r="Q267" s="96"/>
      <c r="R267" s="58" t="str">
        <f>HYPERLINK("https://drive.google.com/open?id=1MIwzWjIMUwszMAdy2k7PiK4g_FgizFoA","Договор")</f>
        <v>Договор</v>
      </c>
      <c r="S267" s="54"/>
      <c r="T267" s="54"/>
      <c r="U267" s="54"/>
    </row>
    <row r="268" spans="1:21" ht="126">
      <c r="A268" s="46">
        <v>255</v>
      </c>
      <c r="B268" s="46" t="s">
        <v>20</v>
      </c>
      <c r="C268" s="46" t="s">
        <v>22</v>
      </c>
      <c r="D268" s="46" t="s">
        <v>21</v>
      </c>
      <c r="E268" s="46" t="s">
        <v>1348</v>
      </c>
      <c r="F268" s="48" t="s">
        <v>1349</v>
      </c>
      <c r="G268" s="48" t="s">
        <v>1350</v>
      </c>
      <c r="H268" s="49" t="s">
        <v>1351</v>
      </c>
      <c r="I268" s="48">
        <v>43117</v>
      </c>
      <c r="J268" s="50">
        <v>1939628.82</v>
      </c>
      <c r="K268" s="50">
        <v>1929930.68</v>
      </c>
      <c r="L268" s="51"/>
      <c r="M268" s="48">
        <v>43465</v>
      </c>
      <c r="N268" s="48" t="s">
        <v>1346</v>
      </c>
      <c r="O268" s="46" t="s">
        <v>1347</v>
      </c>
      <c r="P268" s="52">
        <v>3257022033</v>
      </c>
      <c r="Q268" s="96"/>
      <c r="R268" s="58" t="str">
        <f>HYPERLINK("https://drive.google.com/open?id=1rh4gYBIIXtAgotaAgJKWjNYyqcQJPfCY","Договор")</f>
        <v>Договор</v>
      </c>
      <c r="S268" s="22" t="str">
        <f>HYPERLINK("https://drive.google.com/open?id=1IxFVyxEQ5WM-v_W1pmftfUU-eMxVBxO0","Документы")</f>
        <v>Документы</v>
      </c>
      <c r="T268" s="54"/>
      <c r="U268" s="54"/>
    </row>
    <row r="269" spans="1:21" ht="126">
      <c r="A269" s="46">
        <v>256</v>
      </c>
      <c r="B269" s="46" t="s">
        <v>20</v>
      </c>
      <c r="C269" s="46" t="s">
        <v>22</v>
      </c>
      <c r="D269" s="46" t="s">
        <v>21</v>
      </c>
      <c r="E269" s="46" t="s">
        <v>1352</v>
      </c>
      <c r="F269" s="48" t="s">
        <v>1353</v>
      </c>
      <c r="G269" s="48" t="s">
        <v>1354</v>
      </c>
      <c r="H269" s="49" t="s">
        <v>1355</v>
      </c>
      <c r="I269" s="48">
        <v>43117</v>
      </c>
      <c r="J269" s="50">
        <v>2745498.87</v>
      </c>
      <c r="K269" s="50">
        <v>2731771.38</v>
      </c>
      <c r="L269" s="51"/>
      <c r="M269" s="48">
        <v>43465</v>
      </c>
      <c r="N269" s="48" t="s">
        <v>1346</v>
      </c>
      <c r="O269" s="46" t="s">
        <v>1347</v>
      </c>
      <c r="P269" s="52">
        <v>3257022033</v>
      </c>
      <c r="Q269" s="96"/>
      <c r="R269" s="58" t="str">
        <f>HYPERLINK("https://drive.google.com/open?id=1hFo4C3Id5870dC8-huAmDs3SyfqtZrMb","Договор")</f>
        <v>Договор</v>
      </c>
      <c r="S269" s="22" t="str">
        <f>HYPERLINK("https://drive.google.com/open?id=1RmAN47Df-hwJ3LofbKfXnHZDiygh2c9D","Документы")</f>
        <v>Документы</v>
      </c>
      <c r="T269" s="54"/>
      <c r="U269" s="54"/>
    </row>
    <row r="270" spans="1:21" ht="94.5">
      <c r="A270" s="46">
        <v>257</v>
      </c>
      <c r="B270" s="46" t="s">
        <v>20</v>
      </c>
      <c r="C270" s="46" t="s">
        <v>22</v>
      </c>
      <c r="D270" s="46" t="s">
        <v>21</v>
      </c>
      <c r="E270" s="47" t="s">
        <v>1356</v>
      </c>
      <c r="F270" s="48" t="s">
        <v>1357</v>
      </c>
      <c r="G270" s="48" t="s">
        <v>1358</v>
      </c>
      <c r="H270" s="49" t="s">
        <v>1359</v>
      </c>
      <c r="I270" s="48">
        <v>42783</v>
      </c>
      <c r="J270" s="50">
        <v>2466645.25</v>
      </c>
      <c r="K270" s="50">
        <v>2454312.02</v>
      </c>
      <c r="L270" s="51"/>
      <c r="M270" s="48">
        <v>43465</v>
      </c>
      <c r="N270" s="48" t="s">
        <v>218</v>
      </c>
      <c r="O270" s="46" t="s">
        <v>219</v>
      </c>
      <c r="P270" s="52">
        <v>7728296652</v>
      </c>
      <c r="Q270" s="53"/>
      <c r="R270" s="58" t="str">
        <f>HYPERLINK("https://drive.google.com/open?id=1mVXSBWF7rJ1gwgZj2VHmVGPUzDAbdsAn","Договор")</f>
        <v>Договор</v>
      </c>
      <c r="S270" s="54"/>
      <c r="T270" s="54"/>
      <c r="U270" s="54"/>
    </row>
    <row r="271" spans="1:21" ht="102.75" customHeight="1">
      <c r="A271" s="46">
        <v>258</v>
      </c>
      <c r="B271" s="46" t="s">
        <v>20</v>
      </c>
      <c r="C271" s="46" t="s">
        <v>22</v>
      </c>
      <c r="D271" s="46" t="s">
        <v>21</v>
      </c>
      <c r="E271" s="47" t="s">
        <v>1360</v>
      </c>
      <c r="F271" s="48" t="s">
        <v>1361</v>
      </c>
      <c r="G271" s="48" t="s">
        <v>1362</v>
      </c>
      <c r="H271" s="49" t="s">
        <v>1363</v>
      </c>
      <c r="I271" s="48">
        <v>42783</v>
      </c>
      <c r="J271" s="50">
        <v>1814893.06</v>
      </c>
      <c r="K271" s="50">
        <v>1805818.59</v>
      </c>
      <c r="L271" s="51"/>
      <c r="M271" s="48">
        <v>43465</v>
      </c>
      <c r="N271" s="48" t="s">
        <v>218</v>
      </c>
      <c r="O271" s="46" t="s">
        <v>219</v>
      </c>
      <c r="P271" s="52">
        <v>7728296652</v>
      </c>
      <c r="Q271" s="53"/>
      <c r="R271" s="58" t="str">
        <f>HYPERLINK("https://drive.google.com/open?id=164veSDo5U0NrbCuPS_R2cLjilb4QAcPO","Договор")</f>
        <v>Договор</v>
      </c>
      <c r="S271" s="22" t="str">
        <f>HYPERLINK("https://drive.google.com/open?id=1lJGAxNePd8YOd3Ca4kL_kAX9ocNlds85","Документы")</f>
        <v>Документы</v>
      </c>
      <c r="T271" s="54"/>
      <c r="U271" s="54"/>
    </row>
    <row r="272" spans="1:21" ht="110.25">
      <c r="A272" s="46">
        <v>259</v>
      </c>
      <c r="B272" s="46" t="s">
        <v>20</v>
      </c>
      <c r="C272" s="46" t="s">
        <v>22</v>
      </c>
      <c r="D272" s="46" t="s">
        <v>21</v>
      </c>
      <c r="E272" s="46" t="s">
        <v>1364</v>
      </c>
      <c r="F272" s="48" t="s">
        <v>1365</v>
      </c>
      <c r="G272" s="48" t="s">
        <v>1366</v>
      </c>
      <c r="H272" s="48" t="s">
        <v>1367</v>
      </c>
      <c r="I272" s="48">
        <v>42671</v>
      </c>
      <c r="J272" s="50">
        <v>3531076.84</v>
      </c>
      <c r="K272" s="50">
        <v>3276230.9</v>
      </c>
      <c r="L272" s="51"/>
      <c r="M272" s="48">
        <v>43291</v>
      </c>
      <c r="N272" s="48" t="s">
        <v>1368</v>
      </c>
      <c r="O272" s="46" t="s">
        <v>1369</v>
      </c>
      <c r="P272" s="52">
        <v>7721772905</v>
      </c>
      <c r="Q272" s="53" t="s">
        <v>1370</v>
      </c>
      <c r="R272" s="58" t="str">
        <f>HYPERLINK("https://drive.google.com/open?id=1M_KZdgwXs_dU6UELPgfQs4Mk4Nq3WX3S","Договор")</f>
        <v>Договор</v>
      </c>
      <c r="S272" s="22" t="str">
        <f>HYPERLINK("https://drive.google.com/open?id=1oT8QmDLdUdNG52MlB_2Qo2dGjQmWKXWK","Документы")</f>
        <v>Документы</v>
      </c>
      <c r="T272" s="54"/>
      <c r="U272" s="54"/>
    </row>
    <row r="273" spans="1:21" ht="112.5" customHeight="1">
      <c r="A273" s="46">
        <v>260</v>
      </c>
      <c r="B273" s="46" t="s">
        <v>20</v>
      </c>
      <c r="C273" s="46" t="s">
        <v>22</v>
      </c>
      <c r="D273" s="46" t="s">
        <v>21</v>
      </c>
      <c r="E273" s="46" t="s">
        <v>1371</v>
      </c>
      <c r="F273" s="48" t="s">
        <v>1372</v>
      </c>
      <c r="G273" s="48" t="s">
        <v>1373</v>
      </c>
      <c r="H273" s="91" t="s">
        <v>1374</v>
      </c>
      <c r="I273" s="79">
        <v>42970</v>
      </c>
      <c r="J273" s="50">
        <v>57892041.689999998</v>
      </c>
      <c r="K273" s="50">
        <v>56444740.640000001</v>
      </c>
      <c r="L273" s="51"/>
      <c r="M273" s="48">
        <v>43343</v>
      </c>
      <c r="N273" s="48" t="s">
        <v>829</v>
      </c>
      <c r="O273" s="92" t="s">
        <v>830</v>
      </c>
      <c r="P273" s="52">
        <v>7703761192</v>
      </c>
      <c r="Q273" s="46"/>
      <c r="R273" s="58" t="str">
        <f>HYPERLINK("https://drive.google.com/open?id=12SBvwjsYfen6hjmDe2BPL9RVtLDk4KMV","Договор")</f>
        <v>Договор</v>
      </c>
      <c r="S273" s="22" t="str">
        <f>HYPERLINK("https://drive.google.com/open?id=1ULt-o0JWVvZWkrgBYa_7mknNreo8USfG","Документы")</f>
        <v>Документы</v>
      </c>
      <c r="T273" s="46"/>
      <c r="U273" s="47"/>
    </row>
    <row r="274" spans="1:21" ht="102" customHeight="1">
      <c r="A274" s="46">
        <v>261</v>
      </c>
      <c r="B274" s="46" t="s">
        <v>20</v>
      </c>
      <c r="C274" s="46" t="s">
        <v>22</v>
      </c>
      <c r="D274" s="46" t="s">
        <v>21</v>
      </c>
      <c r="E274" s="46" t="s">
        <v>1375</v>
      </c>
      <c r="F274" s="48" t="s">
        <v>1376</v>
      </c>
      <c r="G274" s="48" t="s">
        <v>1377</v>
      </c>
      <c r="H274" s="91" t="s">
        <v>1378</v>
      </c>
      <c r="I274" s="79">
        <v>42970</v>
      </c>
      <c r="J274" s="50">
        <v>58907374.280000001</v>
      </c>
      <c r="K274" s="50">
        <v>58023763.670000002</v>
      </c>
      <c r="L274" s="51"/>
      <c r="M274" s="48">
        <v>43343</v>
      </c>
      <c r="N274" s="48" t="s">
        <v>829</v>
      </c>
      <c r="O274" s="92" t="s">
        <v>830</v>
      </c>
      <c r="P274" s="52">
        <v>7703761192</v>
      </c>
      <c r="Q274" s="46"/>
      <c r="R274" s="58" t="str">
        <f>HYPERLINK("https://drive.google.com/open?id=101u81oU3iZ3KuiIrjIVo0k_HoE3ZOJtz","Договор")</f>
        <v>Договор</v>
      </c>
      <c r="S274" s="22" t="str">
        <f>HYPERLINK("https://drive.google.com/open?id=1NGz92siZWMM300pdW8kFh4YMTIpe6HE4","Документы")</f>
        <v>Документы</v>
      </c>
      <c r="T274" s="46"/>
      <c r="U274" s="47"/>
    </row>
    <row r="275" spans="1:21" ht="138" customHeight="1">
      <c r="A275" s="46">
        <v>262</v>
      </c>
      <c r="B275" s="46" t="s">
        <v>20</v>
      </c>
      <c r="C275" s="46" t="s">
        <v>22</v>
      </c>
      <c r="D275" s="60" t="s">
        <v>21</v>
      </c>
      <c r="E275" s="60" t="s">
        <v>1379</v>
      </c>
      <c r="F275" s="61" t="s">
        <v>1380</v>
      </c>
      <c r="G275" s="61" t="s">
        <v>1381</v>
      </c>
      <c r="H275" s="62" t="s">
        <v>1382</v>
      </c>
      <c r="I275" s="48">
        <v>42783</v>
      </c>
      <c r="J275" s="100">
        <v>2736702.78</v>
      </c>
      <c r="K275" s="100">
        <v>2418113.91</v>
      </c>
      <c r="L275" s="51"/>
      <c r="M275" s="48">
        <v>43293</v>
      </c>
      <c r="N275" s="46" t="s">
        <v>18</v>
      </c>
      <c r="O275" s="46" t="s">
        <v>19</v>
      </c>
      <c r="P275" s="56">
        <v>332600108871</v>
      </c>
      <c r="Q275" s="53" t="s">
        <v>1383</v>
      </c>
      <c r="R275" s="58" t="str">
        <f>HYPERLINK("https://drive.google.com/open?id=1M-3OFo9RGa_CRXGz8Oa_5QY9jqcmWgOL","Договор")</f>
        <v>Договор</v>
      </c>
      <c r="S275" s="59"/>
      <c r="T275" s="59"/>
      <c r="U275" s="59"/>
    </row>
    <row r="276" spans="1:21" ht="94.5">
      <c r="A276" s="46">
        <v>263</v>
      </c>
      <c r="B276" s="46" t="s">
        <v>20</v>
      </c>
      <c r="C276" s="46" t="s">
        <v>22</v>
      </c>
      <c r="D276" s="46" t="s">
        <v>21</v>
      </c>
      <c r="E276" s="47" t="s">
        <v>1384</v>
      </c>
      <c r="F276" s="48" t="s">
        <v>1385</v>
      </c>
      <c r="G276" s="48" t="s">
        <v>1386</v>
      </c>
      <c r="H276" s="90" t="s">
        <v>1387</v>
      </c>
      <c r="I276" s="48">
        <v>42779</v>
      </c>
      <c r="J276" s="50">
        <v>241635.03</v>
      </c>
      <c r="K276" s="50">
        <v>241635.03</v>
      </c>
      <c r="L276" s="51"/>
      <c r="M276" s="48" t="s">
        <v>1276</v>
      </c>
      <c r="N276" s="46" t="s">
        <v>494</v>
      </c>
      <c r="O276" s="46" t="s">
        <v>495</v>
      </c>
      <c r="P276" s="56">
        <v>3328401520</v>
      </c>
      <c r="Q276" s="46"/>
      <c r="R276" s="58" t="str">
        <f>HYPERLINK("https://drive.google.com/open?id=1LT94yG6QmhmUZFfNAaccpJpnE_gziV5H","Договор")</f>
        <v>Договор</v>
      </c>
      <c r="S276" s="22" t="str">
        <f>HYPERLINK("https://drive.google.com/open?id=1hnjSPD0uZu0ZS3Vkgyb9e-1iiwUkzL1j","Документы")</f>
        <v>Документы</v>
      </c>
      <c r="T276" s="46"/>
      <c r="U276" s="54"/>
    </row>
    <row r="277" spans="1:21" ht="91.5" customHeight="1">
      <c r="A277" s="46">
        <v>264</v>
      </c>
      <c r="B277" s="46" t="s">
        <v>20</v>
      </c>
      <c r="C277" s="46" t="s">
        <v>22</v>
      </c>
      <c r="D277" s="46" t="s">
        <v>21</v>
      </c>
      <c r="E277" s="46" t="s">
        <v>1388</v>
      </c>
      <c r="F277" s="48" t="s">
        <v>1389</v>
      </c>
      <c r="G277" s="48" t="s">
        <v>1390</v>
      </c>
      <c r="H277" s="46" t="s">
        <v>1391</v>
      </c>
      <c r="I277" s="48">
        <v>42793</v>
      </c>
      <c r="J277" s="50">
        <v>3747676.5</v>
      </c>
      <c r="K277" s="102">
        <v>3437806.55</v>
      </c>
      <c r="L277" s="85"/>
      <c r="M277" s="48">
        <v>43287</v>
      </c>
      <c r="N277" s="46" t="s">
        <v>26</v>
      </c>
      <c r="O277" s="46" t="s">
        <v>28</v>
      </c>
      <c r="P277" s="103">
        <v>3316002190</v>
      </c>
      <c r="Q277" s="53" t="s">
        <v>1392</v>
      </c>
      <c r="R277" s="58" t="str">
        <f>HYPERLINK("https://drive.google.com/open?id=1YP-WriAY-6sHqGzTuubmrYoQEWPvb7ff","Договор")</f>
        <v>Договор</v>
      </c>
      <c r="S277" s="22" t="str">
        <f>HYPERLINK("https://drive.google.com/open?id=1W-5MJQYHvd3H0jrmk7H3hLax5fR3V255","Документы")</f>
        <v>Документы</v>
      </c>
      <c r="T277" s="104"/>
      <c r="U277" s="104"/>
    </row>
    <row r="278" spans="1:21" ht="141.75">
      <c r="A278" s="46">
        <v>265</v>
      </c>
      <c r="B278" s="46" t="s">
        <v>20</v>
      </c>
      <c r="C278" s="46" t="s">
        <v>22</v>
      </c>
      <c r="D278" s="46" t="s">
        <v>21</v>
      </c>
      <c r="E278" s="46" t="s">
        <v>1393</v>
      </c>
      <c r="F278" s="48" t="s">
        <v>1394</v>
      </c>
      <c r="G278" s="48" t="s">
        <v>1395</v>
      </c>
      <c r="H278" s="49" t="s">
        <v>1396</v>
      </c>
      <c r="I278" s="48">
        <v>43090</v>
      </c>
      <c r="J278" s="50">
        <v>3803564.84</v>
      </c>
      <c r="K278" s="50">
        <v>3517740.2</v>
      </c>
      <c r="L278" s="51"/>
      <c r="M278" s="48">
        <v>43373</v>
      </c>
      <c r="N278" s="48" t="s">
        <v>1256</v>
      </c>
      <c r="O278" s="46" t="s">
        <v>1257</v>
      </c>
      <c r="P278" s="52">
        <v>332704047856</v>
      </c>
      <c r="Q278" s="53" t="s">
        <v>1397</v>
      </c>
      <c r="R278" s="58" t="str">
        <f>HYPERLINK("https://drive.google.com/open?id=1DpoJcI9juu1KVqYWYF2jjMESqNWIE2My","Договор")</f>
        <v>Договор</v>
      </c>
      <c r="S278" s="54"/>
      <c r="T278" s="54"/>
      <c r="U278" s="54"/>
    </row>
    <row r="279" spans="1:21" ht="78.75">
      <c r="A279" s="46">
        <v>266</v>
      </c>
      <c r="B279" s="46" t="s">
        <v>20</v>
      </c>
      <c r="C279" s="46" t="s">
        <v>22</v>
      </c>
      <c r="D279" s="46" t="s">
        <v>21</v>
      </c>
      <c r="E279" s="47" t="s">
        <v>1398</v>
      </c>
      <c r="F279" s="48" t="s">
        <v>1399</v>
      </c>
      <c r="G279" s="48" t="s">
        <v>1400</v>
      </c>
      <c r="H279" s="49" t="s">
        <v>1401</v>
      </c>
      <c r="I279" s="48">
        <v>42793</v>
      </c>
      <c r="J279" s="50">
        <v>2112003.87</v>
      </c>
      <c r="K279" s="50">
        <v>1941545.75</v>
      </c>
      <c r="L279" s="51"/>
      <c r="M279" s="48">
        <v>43299</v>
      </c>
      <c r="N279" s="48" t="s">
        <v>120</v>
      </c>
      <c r="O279" s="46" t="s">
        <v>121</v>
      </c>
      <c r="P279" s="52">
        <v>3305713379</v>
      </c>
      <c r="Q279" s="53" t="s">
        <v>1402</v>
      </c>
      <c r="R279" s="58" t="str">
        <f>HYPERLINK("https://drive.google.com/open?id=1syMMkFgsA1YyYx_U1YDDEzbLXfTmTvJI","Договор")</f>
        <v>Договор</v>
      </c>
      <c r="S279" s="22" t="str">
        <f>HYPERLINK("https://drive.google.com/open?id=1C7OzqprrL0OBv_YE7-iPIkA_--gT9RFG","Документы")</f>
        <v>Документы</v>
      </c>
      <c r="T279" s="54"/>
      <c r="U279" s="54"/>
    </row>
    <row r="280" spans="1:21" ht="94.5">
      <c r="A280" s="46">
        <v>267</v>
      </c>
      <c r="B280" s="46" t="s">
        <v>20</v>
      </c>
      <c r="C280" s="46" t="s">
        <v>22</v>
      </c>
      <c r="D280" s="46" t="s">
        <v>21</v>
      </c>
      <c r="E280" s="47" t="s">
        <v>1403</v>
      </c>
      <c r="F280" s="48" t="s">
        <v>1404</v>
      </c>
      <c r="G280" s="48" t="s">
        <v>1405</v>
      </c>
      <c r="H280" s="48" t="s">
        <v>1406</v>
      </c>
      <c r="I280" s="48">
        <v>42671</v>
      </c>
      <c r="J280" s="50">
        <v>6324800.9900000002</v>
      </c>
      <c r="K280" s="50">
        <v>6324800.9900000002</v>
      </c>
      <c r="L280" s="51"/>
      <c r="M280" s="48">
        <v>43415</v>
      </c>
      <c r="N280" s="48" t="s">
        <v>257</v>
      </c>
      <c r="O280" s="46" t="s">
        <v>258</v>
      </c>
      <c r="P280" s="52">
        <v>330700346964</v>
      </c>
      <c r="Q280" s="53"/>
      <c r="R280" s="58" t="str">
        <f>HYPERLINK("https://drive.google.com/open?id=19FQv7cQT-z7M6uSm4Va0UCTMQ6N6Xb5L","Договор")</f>
        <v>Договор</v>
      </c>
      <c r="S280" s="54"/>
      <c r="T280" s="54"/>
      <c r="U280" s="54"/>
    </row>
    <row r="281" spans="1:21" ht="94.5">
      <c r="A281" s="46">
        <v>268</v>
      </c>
      <c r="B281" s="46" t="s">
        <v>20</v>
      </c>
      <c r="C281" s="46" t="s">
        <v>22</v>
      </c>
      <c r="D281" s="60" t="s">
        <v>21</v>
      </c>
      <c r="E281" s="60" t="s">
        <v>1407</v>
      </c>
      <c r="F281" s="61" t="s">
        <v>1408</v>
      </c>
      <c r="G281" s="61" t="s">
        <v>1409</v>
      </c>
      <c r="H281" s="62" t="s">
        <v>1410</v>
      </c>
      <c r="I281" s="48">
        <v>42783</v>
      </c>
      <c r="J281" s="100">
        <v>320609.53999999998</v>
      </c>
      <c r="K281" s="100">
        <v>302226.15999999997</v>
      </c>
      <c r="L281" s="51"/>
      <c r="M281" s="48">
        <v>43293</v>
      </c>
      <c r="N281" s="46" t="s">
        <v>18</v>
      </c>
      <c r="O281" s="46" t="s">
        <v>19</v>
      </c>
      <c r="P281" s="56">
        <v>332600108871</v>
      </c>
      <c r="Q281" s="53" t="s">
        <v>1411</v>
      </c>
      <c r="R281" s="58" t="str">
        <f>HYPERLINK("https://drive.google.com/open?id=1Msl4F7SSd6O_eQk7ePd8EYDL9eaco5UK","Договор")</f>
        <v>Договор</v>
      </c>
      <c r="S281" s="22" t="str">
        <f>HYPERLINK("https://drive.google.com/open?id=1b7xRhPeHAqKU-f0b9yKwsZ7NbVNCFfRx","Документы")</f>
        <v>Документы</v>
      </c>
      <c r="T281" s="59"/>
      <c r="U281" s="59"/>
    </row>
    <row r="282" spans="1:21" ht="94.5">
      <c r="A282" s="46">
        <v>269</v>
      </c>
      <c r="B282" s="46" t="s">
        <v>20</v>
      </c>
      <c r="C282" s="46" t="s">
        <v>22</v>
      </c>
      <c r="D282" s="46" t="s">
        <v>21</v>
      </c>
      <c r="E282" s="47" t="s">
        <v>1412</v>
      </c>
      <c r="F282" s="48" t="s">
        <v>1413</v>
      </c>
      <c r="G282" s="48" t="s">
        <v>1414</v>
      </c>
      <c r="H282" s="90" t="s">
        <v>1415</v>
      </c>
      <c r="I282" s="48">
        <v>42779</v>
      </c>
      <c r="J282" s="50">
        <v>783698.45</v>
      </c>
      <c r="K282" s="97">
        <v>664151.21</v>
      </c>
      <c r="L282" s="51"/>
      <c r="M282" s="48" t="s">
        <v>73</v>
      </c>
      <c r="N282" s="48" t="s">
        <v>173</v>
      </c>
      <c r="O282" s="46" t="s">
        <v>174</v>
      </c>
      <c r="P282" s="52">
        <v>4345265453</v>
      </c>
      <c r="Q282" s="53" t="s">
        <v>1416</v>
      </c>
      <c r="R282" s="58" t="str">
        <f>HYPERLINK("https://drive.google.com/open?id=1w_3rbYZltu2gh2poWWV4tgAiLID6ly9e","Договор")</f>
        <v>Договор</v>
      </c>
      <c r="S282" s="22" t="str">
        <f>HYPERLINK("https://drive.google.com/open?id=1cdi7rUShpeKiC2BBOFnvD8FdjllQ5Ios","Документы")</f>
        <v>Документы</v>
      </c>
      <c r="T282" s="46"/>
      <c r="U282" s="54"/>
    </row>
    <row r="283" spans="1:21" ht="94.5">
      <c r="A283" s="46">
        <v>270</v>
      </c>
      <c r="B283" s="46" t="s">
        <v>20</v>
      </c>
      <c r="C283" s="46" t="s">
        <v>22</v>
      </c>
      <c r="D283" s="46" t="s">
        <v>21</v>
      </c>
      <c r="E283" s="47" t="s">
        <v>1417</v>
      </c>
      <c r="F283" s="48" t="s">
        <v>1418</v>
      </c>
      <c r="G283" s="48" t="s">
        <v>1419</v>
      </c>
      <c r="H283" s="90" t="s">
        <v>1420</v>
      </c>
      <c r="I283" s="48">
        <v>42779</v>
      </c>
      <c r="J283" s="50">
        <v>403229.77</v>
      </c>
      <c r="K283" s="97">
        <v>341720.14</v>
      </c>
      <c r="L283" s="51"/>
      <c r="M283" s="48" t="s">
        <v>73</v>
      </c>
      <c r="N283" s="48" t="s">
        <v>173</v>
      </c>
      <c r="O283" s="46" t="s">
        <v>174</v>
      </c>
      <c r="P283" s="52">
        <v>4345265453</v>
      </c>
      <c r="Q283" s="53" t="s">
        <v>1421</v>
      </c>
      <c r="R283" s="58" t="str">
        <f>HYPERLINK("https://drive.google.com/open?id=1TWO-s6yh8d4AXdnobnkdkQ81CTBJe51W","Договор")</f>
        <v>Договор</v>
      </c>
      <c r="S283" s="22" t="str">
        <f>HYPERLINK("https://drive.google.com/open?id=1ggP1-5omJEMHO_zq0gn3OoFOWSjIEQTL","Документы")</f>
        <v>Документы</v>
      </c>
      <c r="T283" s="46"/>
      <c r="U283" s="54"/>
    </row>
    <row r="284" spans="1:21" ht="141.75">
      <c r="A284" s="46">
        <v>271</v>
      </c>
      <c r="B284" s="46" t="s">
        <v>20</v>
      </c>
      <c r="C284" s="46" t="s">
        <v>22</v>
      </c>
      <c r="D284" s="46" t="s">
        <v>21</v>
      </c>
      <c r="E284" s="46" t="s">
        <v>1422</v>
      </c>
      <c r="F284" s="48" t="s">
        <v>1423</v>
      </c>
      <c r="G284" s="48" t="s">
        <v>1424</v>
      </c>
      <c r="H284" s="49" t="s">
        <v>1425</v>
      </c>
      <c r="I284" s="48">
        <v>43090</v>
      </c>
      <c r="J284" s="50">
        <v>3339533.64</v>
      </c>
      <c r="K284" s="50">
        <v>3085280.52</v>
      </c>
      <c r="L284" s="51"/>
      <c r="M284" s="48">
        <v>43351</v>
      </c>
      <c r="N284" s="48" t="s">
        <v>1256</v>
      </c>
      <c r="O284" s="46" t="s">
        <v>1257</v>
      </c>
      <c r="P284" s="52">
        <v>332704047856</v>
      </c>
      <c r="Q284" s="53" t="s">
        <v>1426</v>
      </c>
      <c r="R284" s="58" t="str">
        <f>HYPERLINK("https://drive.google.com/open?id=1UIJbTxLAQKsxVLDxyfdzyS5f35avLWHX","Договор")</f>
        <v>Договор</v>
      </c>
      <c r="S284" s="22" t="str">
        <f>HYPERLINK("https://drive.google.com/open?id=1sOyAgIPzYIdISfYMztzxm98m7AOG4GtP","Документы")</f>
        <v>Документы</v>
      </c>
      <c r="T284" s="54"/>
      <c r="U284" s="54"/>
    </row>
    <row r="285" spans="1:21" ht="110.25">
      <c r="A285" s="46">
        <v>272</v>
      </c>
      <c r="B285" s="46" t="s">
        <v>20</v>
      </c>
      <c r="C285" s="46" t="s">
        <v>22</v>
      </c>
      <c r="D285" s="46" t="s">
        <v>21</v>
      </c>
      <c r="E285" s="46" t="s">
        <v>1427</v>
      </c>
      <c r="F285" s="48" t="s">
        <v>1428</v>
      </c>
      <c r="G285" s="48" t="s">
        <v>1429</v>
      </c>
      <c r="H285" s="49" t="s">
        <v>1430</v>
      </c>
      <c r="I285" s="48">
        <v>43208</v>
      </c>
      <c r="J285" s="50">
        <v>3565268.08</v>
      </c>
      <c r="K285" s="50">
        <v>3316071.23</v>
      </c>
      <c r="L285" s="51"/>
      <c r="M285" s="48">
        <v>43265</v>
      </c>
      <c r="N285" s="48" t="s">
        <v>1431</v>
      </c>
      <c r="O285" s="46" t="s">
        <v>1432</v>
      </c>
      <c r="P285" s="52">
        <v>3303002034</v>
      </c>
      <c r="Q285" s="53" t="s">
        <v>1433</v>
      </c>
      <c r="R285" s="58" t="str">
        <f>HYPERLINK("https://drive.google.com/open?id=1CFytFSjuPUn6WUDd4HUB7uXwzdcSTUTf","Договор")</f>
        <v>Договор</v>
      </c>
      <c r="S285" s="54"/>
      <c r="T285" s="54"/>
      <c r="U285" s="54"/>
    </row>
    <row r="286" spans="1:21" ht="94.5">
      <c r="A286" s="46">
        <v>273</v>
      </c>
      <c r="B286" s="46" t="s">
        <v>20</v>
      </c>
      <c r="C286" s="46" t="s">
        <v>22</v>
      </c>
      <c r="D286" s="46" t="s">
        <v>21</v>
      </c>
      <c r="E286" s="46" t="s">
        <v>1434</v>
      </c>
      <c r="F286" s="48" t="s">
        <v>1435</v>
      </c>
      <c r="G286" s="48" t="s">
        <v>1436</v>
      </c>
      <c r="H286" s="49" t="s">
        <v>1437</v>
      </c>
      <c r="I286" s="48">
        <v>42884</v>
      </c>
      <c r="J286" s="50">
        <v>9374599.5500000007</v>
      </c>
      <c r="K286" s="50">
        <v>9374599.5500000007</v>
      </c>
      <c r="L286" s="51"/>
      <c r="M286" s="48">
        <v>43390</v>
      </c>
      <c r="N286" s="48" t="s">
        <v>1438</v>
      </c>
      <c r="O286" s="46" t="s">
        <v>1439</v>
      </c>
      <c r="P286" s="52">
        <v>3329059194</v>
      </c>
      <c r="Q286" s="53"/>
      <c r="R286" s="58" t="str">
        <f>HYPERLINK("https://drive.google.com/open?id=1O0dcQo5zi05KBWedfTF_Dp8qPyGqHdTq","Договор")</f>
        <v>Договор</v>
      </c>
      <c r="S286" s="54"/>
      <c r="T286" s="54"/>
      <c r="U286" s="54"/>
    </row>
    <row r="287" spans="1:21" ht="141.75">
      <c r="A287" s="46">
        <v>274</v>
      </c>
      <c r="B287" s="46" t="s">
        <v>20</v>
      </c>
      <c r="C287" s="46" t="s">
        <v>22</v>
      </c>
      <c r="D287" s="46" t="s">
        <v>21</v>
      </c>
      <c r="E287" s="47" t="s">
        <v>1440</v>
      </c>
      <c r="F287" s="48" t="s">
        <v>1441</v>
      </c>
      <c r="G287" s="48" t="s">
        <v>1442</v>
      </c>
      <c r="H287" s="48" t="s">
        <v>1443</v>
      </c>
      <c r="I287" s="48">
        <v>43090</v>
      </c>
      <c r="J287" s="50">
        <v>20911321.420000002</v>
      </c>
      <c r="K287" s="50">
        <v>20911321.420000002</v>
      </c>
      <c r="L287" s="51"/>
      <c r="M287" s="39">
        <v>43383</v>
      </c>
      <c r="N287" s="48" t="s">
        <v>1340</v>
      </c>
      <c r="O287" s="46" t="s">
        <v>1341</v>
      </c>
      <c r="P287" s="52">
        <v>3306014207</v>
      </c>
      <c r="Q287" s="53"/>
      <c r="R287" s="58" t="str">
        <f>HYPERLINK("https://drive.google.com/open?id=1uFC7jiGM3YCUWLRC3NcOGUukWTRaCCAq","Договор")</f>
        <v>Договор</v>
      </c>
      <c r="S287" s="54"/>
      <c r="T287" s="54"/>
      <c r="U287" s="54"/>
    </row>
    <row r="288" spans="1:21" ht="126">
      <c r="A288" s="46">
        <v>275</v>
      </c>
      <c r="B288" s="46" t="s">
        <v>20</v>
      </c>
      <c r="C288" s="46" t="s">
        <v>22</v>
      </c>
      <c r="D288" s="46" t="s">
        <v>21</v>
      </c>
      <c r="E288" s="47" t="s">
        <v>1444</v>
      </c>
      <c r="F288" s="48" t="s">
        <v>1445</v>
      </c>
      <c r="G288" s="48" t="s">
        <v>1446</v>
      </c>
      <c r="H288" s="48" t="s">
        <v>1447</v>
      </c>
      <c r="I288" s="48">
        <v>42884</v>
      </c>
      <c r="J288" s="50">
        <v>4319488.0599999996</v>
      </c>
      <c r="K288" s="50">
        <v>3763769.07</v>
      </c>
      <c r="L288" s="51"/>
      <c r="M288" s="39">
        <v>43339</v>
      </c>
      <c r="N288" s="48" t="s">
        <v>1448</v>
      </c>
      <c r="O288" s="46" t="s">
        <v>1449</v>
      </c>
      <c r="P288" s="52">
        <v>3329054260</v>
      </c>
      <c r="Q288" s="53" t="s">
        <v>1450</v>
      </c>
      <c r="R288" s="58" t="str">
        <f>HYPERLINK("https://drive.google.com/open?id=1KkJR-_8ZKRO0xifq6g68lQ7-Kd8FjPg1","Договор")</f>
        <v>Договор</v>
      </c>
      <c r="S288" s="54"/>
      <c r="T288" s="54"/>
      <c r="U288" s="54"/>
    </row>
    <row r="289" spans="1:21" ht="409.5">
      <c r="A289" s="55">
        <v>276</v>
      </c>
      <c r="B289" s="53" t="s">
        <v>20</v>
      </c>
      <c r="C289" s="71" t="s">
        <v>1451</v>
      </c>
      <c r="D289" s="53" t="s">
        <v>21</v>
      </c>
      <c r="E289" s="101" t="s">
        <v>1452</v>
      </c>
      <c r="F289" s="48" t="s">
        <v>1453</v>
      </c>
      <c r="G289" s="48" t="s">
        <v>1454</v>
      </c>
      <c r="H289" s="113" t="s">
        <v>1455</v>
      </c>
      <c r="I289" s="48">
        <v>42671</v>
      </c>
      <c r="J289" s="50">
        <v>10244744.27</v>
      </c>
      <c r="K289" s="50">
        <v>10244744.27</v>
      </c>
      <c r="L289" s="114"/>
      <c r="M289" s="115" t="s">
        <v>1456</v>
      </c>
      <c r="N289" s="55" t="s">
        <v>257</v>
      </c>
      <c r="O289" s="46" t="s">
        <v>258</v>
      </c>
      <c r="P289" s="52">
        <v>330700346964</v>
      </c>
      <c r="Q289" s="57"/>
      <c r="R289" s="58" t="str">
        <f>HYPERLINK("https://drive.google.com/open?id=1WG5NBid6V-Fqe85-GnXfEnfLFACpCKMY","Договор")</f>
        <v>Договор</v>
      </c>
      <c r="S289" s="54"/>
      <c r="T289" s="54"/>
      <c r="U289" s="54"/>
    </row>
    <row r="290" spans="1:21" ht="94.5">
      <c r="A290" s="46">
        <v>277</v>
      </c>
      <c r="B290" s="46" t="s">
        <v>20</v>
      </c>
      <c r="C290" s="46" t="s">
        <v>22</v>
      </c>
      <c r="D290" s="60" t="s">
        <v>21</v>
      </c>
      <c r="E290" s="60" t="s">
        <v>1457</v>
      </c>
      <c r="F290" s="61" t="s">
        <v>1458</v>
      </c>
      <c r="G290" s="61" t="s">
        <v>1459</v>
      </c>
      <c r="H290" s="62" t="s">
        <v>1460</v>
      </c>
      <c r="I290" s="48">
        <v>42783</v>
      </c>
      <c r="J290" s="100">
        <v>2364044.13</v>
      </c>
      <c r="K290" s="100">
        <v>2178185.87</v>
      </c>
      <c r="L290" s="51"/>
      <c r="M290" s="48">
        <v>43307</v>
      </c>
      <c r="N290" s="46" t="s">
        <v>18</v>
      </c>
      <c r="O290" s="46" t="s">
        <v>19</v>
      </c>
      <c r="P290" s="56">
        <v>332600108871</v>
      </c>
      <c r="Q290" s="53" t="s">
        <v>1461</v>
      </c>
      <c r="R290" s="58" t="str">
        <f>HYPERLINK("https://drive.google.com/open?id=109jSy8PNl5THukYHgxKtCqIvKeaFmJK7","Договор")</f>
        <v>Договор</v>
      </c>
      <c r="S290" s="22" t="str">
        <f>HYPERLINK("https://drive.google.com/open?id=1vFTdafCxwasjBs2EmL4fubmPIK4VhzcI","Документы")</f>
        <v>Документы</v>
      </c>
      <c r="T290" s="59"/>
      <c r="U290" s="59"/>
    </row>
    <row r="291" spans="1:21" ht="94.5">
      <c r="A291" s="46">
        <v>278</v>
      </c>
      <c r="B291" s="46" t="s">
        <v>20</v>
      </c>
      <c r="C291" s="46" t="s">
        <v>504</v>
      </c>
      <c r="D291" s="46" t="s">
        <v>21</v>
      </c>
      <c r="E291" s="47" t="s">
        <v>1462</v>
      </c>
      <c r="F291" s="48" t="s">
        <v>1463</v>
      </c>
      <c r="G291" s="48" t="s">
        <v>1464</v>
      </c>
      <c r="H291" s="90" t="s">
        <v>1044</v>
      </c>
      <c r="I291" s="48">
        <v>42844</v>
      </c>
      <c r="J291" s="50">
        <v>803775.92</v>
      </c>
      <c r="K291" s="50">
        <v>681166.03</v>
      </c>
      <c r="L291" s="51"/>
      <c r="M291" s="48" t="s">
        <v>265</v>
      </c>
      <c r="N291" s="48" t="s">
        <v>74</v>
      </c>
      <c r="O291" s="46" t="s">
        <v>75</v>
      </c>
      <c r="P291" s="52">
        <v>4345342965</v>
      </c>
      <c r="Q291" s="53" t="s">
        <v>1465</v>
      </c>
      <c r="R291" s="58" t="str">
        <f>HYPERLINK("https://drive.google.com/open?id=13-YlT6qN1SBHrH-2I4z7n3LCZkN5LG2d","Договор")</f>
        <v>Договор</v>
      </c>
      <c r="S291" s="22" t="str">
        <f>HYPERLINK("https://drive.google.com/open?id=1kvdGh-tO07DHaTgUSH9KIQy7dsy4ZQqA","Документы")</f>
        <v>Документы</v>
      </c>
      <c r="T291" s="54"/>
      <c r="U291" s="5"/>
    </row>
    <row r="292" spans="1:21" ht="94.5">
      <c r="A292" s="46">
        <v>279</v>
      </c>
      <c r="B292" s="46" t="s">
        <v>20</v>
      </c>
      <c r="C292" s="46" t="s">
        <v>504</v>
      </c>
      <c r="D292" s="46" t="s">
        <v>21</v>
      </c>
      <c r="E292" s="47" t="s">
        <v>1466</v>
      </c>
      <c r="F292" s="48" t="s">
        <v>1463</v>
      </c>
      <c r="G292" s="48" t="s">
        <v>1467</v>
      </c>
      <c r="H292" s="90" t="s">
        <v>1016</v>
      </c>
      <c r="I292" s="48">
        <v>42844</v>
      </c>
      <c r="J292" s="50">
        <v>895436.46</v>
      </c>
      <c r="K292" s="50">
        <v>758844.46</v>
      </c>
      <c r="L292" s="51"/>
      <c r="M292" s="48" t="s">
        <v>265</v>
      </c>
      <c r="N292" s="48" t="s">
        <v>74</v>
      </c>
      <c r="O292" s="46" t="s">
        <v>75</v>
      </c>
      <c r="P292" s="52">
        <v>4345342965</v>
      </c>
      <c r="Q292" s="53" t="s">
        <v>1465</v>
      </c>
      <c r="R292" s="58" t="str">
        <f>HYPERLINK("https://drive.google.com/open?id=1fq3T8TjPBRg6PAqQn3kBdM4rZHpku-UB","Договор")</f>
        <v>Договор</v>
      </c>
      <c r="S292" s="54"/>
      <c r="T292" s="54"/>
      <c r="U292" s="5"/>
    </row>
    <row r="293" spans="1:21" ht="78.75">
      <c r="A293" s="46">
        <v>280</v>
      </c>
      <c r="B293" s="46" t="s">
        <v>20</v>
      </c>
      <c r="C293" s="46" t="s">
        <v>504</v>
      </c>
      <c r="D293" s="46" t="s">
        <v>21</v>
      </c>
      <c r="E293" s="47" t="s">
        <v>1468</v>
      </c>
      <c r="F293" s="48" t="s">
        <v>1463</v>
      </c>
      <c r="G293" s="48" t="s">
        <v>1469</v>
      </c>
      <c r="H293" s="90" t="s">
        <v>1470</v>
      </c>
      <c r="I293" s="48">
        <v>42779</v>
      </c>
      <c r="J293" s="50">
        <v>284287.81</v>
      </c>
      <c r="K293" s="97">
        <v>240921.87</v>
      </c>
      <c r="L293" s="51"/>
      <c r="M293" s="48" t="s">
        <v>73</v>
      </c>
      <c r="N293" s="48" t="s">
        <v>173</v>
      </c>
      <c r="O293" s="46" t="s">
        <v>174</v>
      </c>
      <c r="P293" s="52">
        <v>4345265453</v>
      </c>
      <c r="Q293" s="53" t="s">
        <v>1421</v>
      </c>
      <c r="R293" s="58" t="str">
        <f>HYPERLINK("https://drive.google.com/open?id=1xczi9ybPtpmtgOiXVhYyLgScWsH7gSvX","Договор")</f>
        <v>Договор</v>
      </c>
      <c r="S293" s="22" t="str">
        <f>HYPERLINK("https://drive.google.com/open?id=1V5Umb3Q0eKUTTAjBrS3nEgZetwwYjZVj","Документы")</f>
        <v>Документы</v>
      </c>
      <c r="T293" s="46"/>
      <c r="U293" s="5"/>
    </row>
    <row r="294" spans="1:21" ht="78.75">
      <c r="A294" s="46">
        <v>281</v>
      </c>
      <c r="B294" s="46" t="s">
        <v>20</v>
      </c>
      <c r="C294" s="46" t="s">
        <v>504</v>
      </c>
      <c r="D294" s="46" t="s">
        <v>21</v>
      </c>
      <c r="E294" s="47" t="s">
        <v>1471</v>
      </c>
      <c r="F294" s="48" t="s">
        <v>1463</v>
      </c>
      <c r="G294" s="48" t="s">
        <v>1472</v>
      </c>
      <c r="H294" s="90" t="s">
        <v>1473</v>
      </c>
      <c r="I294" s="48">
        <v>42779</v>
      </c>
      <c r="J294" s="50">
        <v>948995.98</v>
      </c>
      <c r="K294" s="97">
        <v>804233.88</v>
      </c>
      <c r="L294" s="51"/>
      <c r="M294" s="48" t="s">
        <v>265</v>
      </c>
      <c r="N294" s="48" t="s">
        <v>173</v>
      </c>
      <c r="O294" s="46" t="s">
        <v>174</v>
      </c>
      <c r="P294" s="52">
        <v>4345265453</v>
      </c>
      <c r="Q294" s="53" t="s">
        <v>1474</v>
      </c>
      <c r="R294" s="58" t="str">
        <f>HYPERLINK("https://drive.google.com/open?id=1_NJnAJFRZP0HQXAsQOqNHbAZe6GF-HFf","Договор")</f>
        <v>Договор</v>
      </c>
      <c r="S294" s="22" t="str">
        <f>HYPERLINK("https://drive.google.com/open?id=16YUNKvpahs_71s0871mPrQu_LlGA-pWD","Документы")</f>
        <v>Документы</v>
      </c>
      <c r="T294" s="46"/>
      <c r="U294" s="54"/>
    </row>
    <row r="295" spans="1:21" ht="94.5">
      <c r="A295" s="46">
        <v>282</v>
      </c>
      <c r="B295" s="46" t="s">
        <v>20</v>
      </c>
      <c r="C295" s="46" t="s">
        <v>22</v>
      </c>
      <c r="D295" s="46" t="s">
        <v>21</v>
      </c>
      <c r="E295" s="47" t="s">
        <v>1475</v>
      </c>
      <c r="F295" s="48" t="s">
        <v>1476</v>
      </c>
      <c r="G295" s="48" t="s">
        <v>1477</v>
      </c>
      <c r="H295" s="48" t="s">
        <v>1478</v>
      </c>
      <c r="I295" s="48">
        <v>42671</v>
      </c>
      <c r="J295" s="50">
        <v>3050286.78</v>
      </c>
      <c r="K295" s="50">
        <v>2851876.9</v>
      </c>
      <c r="L295" s="51"/>
      <c r="M295" s="48">
        <v>43308</v>
      </c>
      <c r="N295" s="48" t="s">
        <v>257</v>
      </c>
      <c r="O295" s="46" t="s">
        <v>258</v>
      </c>
      <c r="P295" s="52">
        <v>330700346964</v>
      </c>
      <c r="Q295" s="53" t="s">
        <v>1479</v>
      </c>
      <c r="R295" s="58" t="str">
        <f>HYPERLINK("https://drive.google.com/open?id=13WD3eFAqp_XDn4XYC8-HrYacbIfZopGB","Договор")</f>
        <v>Договор</v>
      </c>
      <c r="S295" s="22" t="str">
        <f>HYPERLINK("https://drive.google.com/open?id=1RPlFNjAGxZ1ytVGPHjniaGELfsTna1vN","Документы")</f>
        <v>Документы</v>
      </c>
      <c r="T295" s="54"/>
      <c r="U295" s="54"/>
    </row>
    <row r="296" spans="1:21" ht="94.5">
      <c r="A296" s="46">
        <v>283</v>
      </c>
      <c r="B296" s="46" t="s">
        <v>20</v>
      </c>
      <c r="C296" s="46" t="s">
        <v>22</v>
      </c>
      <c r="D296" s="46" t="s">
        <v>21</v>
      </c>
      <c r="E296" s="47" t="s">
        <v>1480</v>
      </c>
      <c r="F296" s="48" t="s">
        <v>1481</v>
      </c>
      <c r="G296" s="48" t="s">
        <v>1482</v>
      </c>
      <c r="H296" s="49" t="s">
        <v>1483</v>
      </c>
      <c r="I296" s="48">
        <v>42793</v>
      </c>
      <c r="J296" s="50">
        <v>2367060.0299999998</v>
      </c>
      <c r="K296" s="50">
        <v>2184408.62</v>
      </c>
      <c r="L296" s="51"/>
      <c r="M296" s="48">
        <v>43318</v>
      </c>
      <c r="N296" s="48" t="s">
        <v>120</v>
      </c>
      <c r="O296" s="46" t="s">
        <v>121</v>
      </c>
      <c r="P296" s="52">
        <v>3305713379</v>
      </c>
      <c r="Q296" s="53" t="s">
        <v>1484</v>
      </c>
      <c r="R296" s="58" t="str">
        <f>HYPERLINK("https://drive.google.com/open?id=14eLJwqFw8nUZrIY4bAsYV3PZT9JDCTCp","Договор")</f>
        <v>Договор</v>
      </c>
      <c r="S296" s="22" t="str">
        <f>HYPERLINK("https://drive.google.com/open?id=11FwwQXRGAkxoOInJDhovND6Adqy0xw7f","Документы")</f>
        <v>Документы</v>
      </c>
      <c r="T296" s="54"/>
      <c r="U296" s="54"/>
    </row>
    <row r="297" spans="1:21" ht="78.75">
      <c r="A297" s="46">
        <v>284</v>
      </c>
      <c r="B297" s="46" t="s">
        <v>20</v>
      </c>
      <c r="C297" s="46" t="s">
        <v>22</v>
      </c>
      <c r="D297" s="46" t="s">
        <v>21</v>
      </c>
      <c r="E297" s="47" t="s">
        <v>1485</v>
      </c>
      <c r="F297" s="48" t="s">
        <v>1486</v>
      </c>
      <c r="G297" s="48" t="s">
        <v>1487</v>
      </c>
      <c r="H297" s="49" t="s">
        <v>1488</v>
      </c>
      <c r="I297" s="48">
        <v>42793</v>
      </c>
      <c r="J297" s="50">
        <v>1337326.8</v>
      </c>
      <c r="K297" s="50">
        <v>1235370.6399999999</v>
      </c>
      <c r="L297" s="51"/>
      <c r="M297" s="48">
        <v>43295</v>
      </c>
      <c r="N297" s="48" t="s">
        <v>120</v>
      </c>
      <c r="O297" s="46" t="s">
        <v>121</v>
      </c>
      <c r="P297" s="52">
        <v>3305713379</v>
      </c>
      <c r="Q297" s="53" t="s">
        <v>1489</v>
      </c>
      <c r="R297" s="58" t="str">
        <f>HYPERLINK("https://drive.google.com/open?id=1S2w9NCjeCjLZG_WmNcdAX18u0xE-74yU","Договор")</f>
        <v>Договор</v>
      </c>
      <c r="S297" s="22" t="str">
        <f>HYPERLINK("https://drive.google.com/open?id=1Z7bqSmFxWhjJWxo0xSqHKpqZm4mU8M75","Документы")</f>
        <v>Документы</v>
      </c>
      <c r="T297" s="54"/>
      <c r="U297" s="54"/>
    </row>
    <row r="298" spans="1:21" ht="110.25">
      <c r="A298" s="46">
        <v>285</v>
      </c>
      <c r="B298" s="46" t="s">
        <v>20</v>
      </c>
      <c r="C298" s="46" t="s">
        <v>22</v>
      </c>
      <c r="D298" s="46" t="s">
        <v>21</v>
      </c>
      <c r="E298" s="47" t="s">
        <v>1490</v>
      </c>
      <c r="F298" s="48" t="s">
        <v>1491</v>
      </c>
      <c r="G298" s="48" t="s">
        <v>1492</v>
      </c>
      <c r="H298" s="49" t="s">
        <v>1493</v>
      </c>
      <c r="I298" s="48">
        <v>43208</v>
      </c>
      <c r="J298" s="50">
        <v>2395424.4900000002</v>
      </c>
      <c r="K298" s="50">
        <v>2395424.4900000002</v>
      </c>
      <c r="L298" s="51"/>
      <c r="M298" s="48">
        <v>43295</v>
      </c>
      <c r="N298" s="48" t="s">
        <v>1494</v>
      </c>
      <c r="O298" s="46" t="s">
        <v>1495</v>
      </c>
      <c r="P298" s="52">
        <v>6234075161</v>
      </c>
      <c r="Q298" s="53" t="s">
        <v>1496</v>
      </c>
      <c r="R298" s="58" t="str">
        <f>HYPERLINK("https://drive.google.com/open?id=1HKT4I0J0ClMXwwAuwm2pN4GX7UYrt9Mz","Договор")</f>
        <v>Договор</v>
      </c>
      <c r="S298" s="54"/>
      <c r="T298" s="54"/>
      <c r="U298" s="54"/>
    </row>
    <row r="299" spans="1:21" ht="110.25">
      <c r="A299" s="46">
        <v>286</v>
      </c>
      <c r="B299" s="46" t="s">
        <v>20</v>
      </c>
      <c r="C299" s="46" t="s">
        <v>22</v>
      </c>
      <c r="D299" s="46" t="s">
        <v>21</v>
      </c>
      <c r="E299" s="47" t="s">
        <v>1497</v>
      </c>
      <c r="F299" s="48" t="s">
        <v>1498</v>
      </c>
      <c r="G299" s="48" t="s">
        <v>1499</v>
      </c>
      <c r="H299" s="49" t="s">
        <v>1500</v>
      </c>
      <c r="I299" s="48">
        <v>43208</v>
      </c>
      <c r="J299" s="50">
        <v>2383526.5</v>
      </c>
      <c r="K299" s="50">
        <v>2383526.5</v>
      </c>
      <c r="L299" s="51"/>
      <c r="M299" s="48">
        <v>43311</v>
      </c>
      <c r="N299" s="48" t="s">
        <v>1494</v>
      </c>
      <c r="O299" s="46" t="s">
        <v>1495</v>
      </c>
      <c r="P299" s="52">
        <v>6234075161</v>
      </c>
      <c r="Q299" s="53" t="s">
        <v>1496</v>
      </c>
      <c r="R299" s="58" t="str">
        <f>HYPERLINK("https://drive.google.com/open?id=1CT9P-KP9DAPU77A_yx8-xibBRRKWAOOA","Договор")</f>
        <v>Договор</v>
      </c>
      <c r="S299" s="54"/>
      <c r="T299" s="54"/>
      <c r="U299" s="54"/>
    </row>
    <row r="300" spans="1:21" ht="110.25">
      <c r="A300" s="46">
        <v>287</v>
      </c>
      <c r="B300" s="46" t="s">
        <v>20</v>
      </c>
      <c r="C300" s="46" t="s">
        <v>22</v>
      </c>
      <c r="D300" s="46" t="s">
        <v>21</v>
      </c>
      <c r="E300" s="47" t="s">
        <v>1501</v>
      </c>
      <c r="F300" s="48" t="s">
        <v>1502</v>
      </c>
      <c r="G300" s="48" t="s">
        <v>1503</v>
      </c>
      <c r="H300" s="49" t="s">
        <v>1504</v>
      </c>
      <c r="I300" s="48">
        <v>43208</v>
      </c>
      <c r="J300" s="50">
        <v>3773684.17</v>
      </c>
      <c r="K300" s="50">
        <v>3773684.17</v>
      </c>
      <c r="L300" s="51"/>
      <c r="M300" s="48">
        <v>43341</v>
      </c>
      <c r="N300" s="48" t="s">
        <v>1494</v>
      </c>
      <c r="O300" s="46" t="s">
        <v>1495</v>
      </c>
      <c r="P300" s="52">
        <v>6234075161</v>
      </c>
      <c r="Q300" s="53" t="s">
        <v>1496</v>
      </c>
      <c r="R300" s="58" t="str">
        <f>HYPERLINK("https://drive.google.com/open?id=1x17Us4Xa80TG8hPbAqZEhT1LHEBWko32","Договор")</f>
        <v>Договор</v>
      </c>
      <c r="S300" s="54"/>
      <c r="T300" s="54"/>
      <c r="U300" s="54"/>
    </row>
    <row r="301" spans="1:21" ht="110.25">
      <c r="A301" s="46">
        <v>288</v>
      </c>
      <c r="B301" s="46" t="s">
        <v>20</v>
      </c>
      <c r="C301" s="46" t="s">
        <v>22</v>
      </c>
      <c r="D301" s="46" t="s">
        <v>21</v>
      </c>
      <c r="E301" s="47" t="s">
        <v>1505</v>
      </c>
      <c r="F301" s="48" t="s">
        <v>1506</v>
      </c>
      <c r="G301" s="48" t="s">
        <v>1507</v>
      </c>
      <c r="H301" s="49" t="s">
        <v>1508</v>
      </c>
      <c r="I301" s="48">
        <v>43208</v>
      </c>
      <c r="J301" s="50">
        <v>4323086.93</v>
      </c>
      <c r="K301" s="50">
        <v>4323086.93</v>
      </c>
      <c r="L301" s="51"/>
      <c r="M301" s="48">
        <v>43351</v>
      </c>
      <c r="N301" s="48" t="s">
        <v>1494</v>
      </c>
      <c r="O301" s="46" t="s">
        <v>1495</v>
      </c>
      <c r="P301" s="52">
        <v>6234075161</v>
      </c>
      <c r="Q301" s="53" t="s">
        <v>1496</v>
      </c>
      <c r="R301" s="58" t="str">
        <f>HYPERLINK("https://drive.google.com/open?id=1fFJq4kMa1MGDIlRxFkzQ_AKT0caoOIIb","Договор")</f>
        <v>Договор</v>
      </c>
      <c r="S301" s="54"/>
      <c r="T301" s="54"/>
      <c r="U301" s="54"/>
    </row>
    <row r="302" spans="1:21" ht="110.25">
      <c r="A302" s="46">
        <v>289</v>
      </c>
      <c r="B302" s="46" t="s">
        <v>20</v>
      </c>
      <c r="C302" s="46" t="s">
        <v>22</v>
      </c>
      <c r="D302" s="46" t="s">
        <v>21</v>
      </c>
      <c r="E302" s="47" t="s">
        <v>1509</v>
      </c>
      <c r="F302" s="48" t="s">
        <v>1510</v>
      </c>
      <c r="G302" s="48" t="s">
        <v>1511</v>
      </c>
      <c r="H302" s="49" t="s">
        <v>1512</v>
      </c>
      <c r="I302" s="48">
        <v>43208</v>
      </c>
      <c r="J302" s="50">
        <v>3796496.75</v>
      </c>
      <c r="K302" s="50">
        <v>3796496.75</v>
      </c>
      <c r="L302" s="51"/>
      <c r="M302" s="48">
        <v>43341</v>
      </c>
      <c r="N302" s="48" t="s">
        <v>1494</v>
      </c>
      <c r="O302" s="46" t="s">
        <v>1495</v>
      </c>
      <c r="P302" s="52">
        <v>6234075161</v>
      </c>
      <c r="Q302" s="53" t="s">
        <v>1496</v>
      </c>
      <c r="R302" s="58" t="str">
        <f>HYPERLINK("https://drive.google.com/open?id=1TLKmThssDygnRXVg9SDhZG308hAiRQPN","Договор")</f>
        <v>Договор</v>
      </c>
      <c r="S302" s="54"/>
      <c r="T302" s="54"/>
      <c r="U302" s="54"/>
    </row>
    <row r="303" spans="1:21" ht="94.5">
      <c r="A303" s="46">
        <v>290</v>
      </c>
      <c r="B303" s="46" t="s">
        <v>20</v>
      </c>
      <c r="C303" s="46" t="s">
        <v>22</v>
      </c>
      <c r="D303" s="46" t="s">
        <v>21</v>
      </c>
      <c r="E303" s="47" t="s">
        <v>1513</v>
      </c>
      <c r="F303" s="48" t="s">
        <v>1514</v>
      </c>
      <c r="G303" s="48" t="s">
        <v>1515</v>
      </c>
      <c r="H303" s="49" t="s">
        <v>1516</v>
      </c>
      <c r="I303" s="48">
        <v>43208</v>
      </c>
      <c r="J303" s="50">
        <v>2416631.88</v>
      </c>
      <c r="K303" s="50">
        <v>2416631.88</v>
      </c>
      <c r="L303" s="51"/>
      <c r="M303" s="48">
        <v>43318</v>
      </c>
      <c r="N303" s="48" t="s">
        <v>1517</v>
      </c>
      <c r="O303" s="46" t="s">
        <v>1518</v>
      </c>
      <c r="P303" s="52">
        <v>6230053015</v>
      </c>
      <c r="Q303" s="53" t="s">
        <v>1496</v>
      </c>
      <c r="R303" s="58" t="str">
        <f>HYPERLINK("https://drive.google.com/open?id=1HGYogTOGd9CFXW3Tg8IXUCsh8530NiI3","Договор")</f>
        <v>Договор</v>
      </c>
      <c r="S303" s="54"/>
      <c r="T303" s="54"/>
      <c r="U303" s="54"/>
    </row>
    <row r="304" spans="1:21" ht="94.5">
      <c r="A304" s="46">
        <v>291</v>
      </c>
      <c r="B304" s="46" t="s">
        <v>20</v>
      </c>
      <c r="C304" s="46" t="s">
        <v>22</v>
      </c>
      <c r="D304" s="46" t="s">
        <v>21</v>
      </c>
      <c r="E304" s="47" t="s">
        <v>1519</v>
      </c>
      <c r="F304" s="48" t="s">
        <v>1520</v>
      </c>
      <c r="G304" s="48" t="s">
        <v>1521</v>
      </c>
      <c r="H304" s="49" t="s">
        <v>1522</v>
      </c>
      <c r="I304" s="48">
        <v>43208</v>
      </c>
      <c r="J304" s="50">
        <v>2078633.01</v>
      </c>
      <c r="K304" s="50">
        <v>2078633.01</v>
      </c>
      <c r="L304" s="51"/>
      <c r="M304" s="48">
        <v>43327</v>
      </c>
      <c r="N304" s="48" t="s">
        <v>1517</v>
      </c>
      <c r="O304" s="46" t="s">
        <v>1518</v>
      </c>
      <c r="P304" s="52">
        <v>6230053015</v>
      </c>
      <c r="Q304" s="53" t="s">
        <v>1496</v>
      </c>
      <c r="R304" s="58" t="str">
        <f>HYPERLINK("https://drive.google.com/open?id=15Vz2f26JbZ9Izxmizq5vBVfdwtOYwFZG","Договор")</f>
        <v>Договор</v>
      </c>
      <c r="S304" s="54"/>
      <c r="T304" s="54"/>
      <c r="U304" s="54"/>
    </row>
    <row r="305" spans="1:21" ht="126">
      <c r="A305" s="46">
        <v>292</v>
      </c>
      <c r="B305" s="46" t="s">
        <v>20</v>
      </c>
      <c r="C305" s="46" t="s">
        <v>22</v>
      </c>
      <c r="D305" s="46" t="s">
        <v>21</v>
      </c>
      <c r="E305" s="47" t="s">
        <v>1523</v>
      </c>
      <c r="F305" s="48" t="s">
        <v>1524</v>
      </c>
      <c r="G305" s="48" t="s">
        <v>1525</v>
      </c>
      <c r="H305" s="49" t="s">
        <v>1526</v>
      </c>
      <c r="I305" s="48">
        <v>43208</v>
      </c>
      <c r="J305" s="50">
        <v>2060663.48</v>
      </c>
      <c r="K305" s="50">
        <v>1924954.52</v>
      </c>
      <c r="L305" s="51"/>
      <c r="M305" s="48">
        <v>43305</v>
      </c>
      <c r="N305" s="48" t="s">
        <v>1527</v>
      </c>
      <c r="O305" s="46" t="s">
        <v>1528</v>
      </c>
      <c r="P305" s="99" t="s">
        <v>1529</v>
      </c>
      <c r="Q305" s="53" t="s">
        <v>1530</v>
      </c>
      <c r="R305" s="58" t="str">
        <f>HYPERLINK("https://drive.google.com/open?id=1dBNO8w7jRewRHC7kyqg0j9E-5d-UD9xh","Договор")</f>
        <v>Договор</v>
      </c>
      <c r="S305" s="22" t="str">
        <f>HYPERLINK("https://drive.google.com/open?id=1oZUk5_FgT0MH6XToZCEzKyTgHgvNtPgK","Документы")</f>
        <v>Документы</v>
      </c>
      <c r="T305" s="54"/>
      <c r="U305" s="54"/>
    </row>
    <row r="306" spans="1:21" ht="126">
      <c r="A306" s="46">
        <v>293</v>
      </c>
      <c r="B306" s="46" t="s">
        <v>20</v>
      </c>
      <c r="C306" s="46" t="s">
        <v>22</v>
      </c>
      <c r="D306" s="46" t="s">
        <v>21</v>
      </c>
      <c r="E306" s="47" t="s">
        <v>1531</v>
      </c>
      <c r="F306" s="48" t="s">
        <v>1532</v>
      </c>
      <c r="G306" s="48" t="s">
        <v>1533</v>
      </c>
      <c r="H306" s="49" t="s">
        <v>1534</v>
      </c>
      <c r="I306" s="48">
        <v>43208</v>
      </c>
      <c r="J306" s="50">
        <v>2891035.84</v>
      </c>
      <c r="K306" s="50">
        <v>2708094.45</v>
      </c>
      <c r="L306" s="51"/>
      <c r="M306" s="48">
        <v>43325</v>
      </c>
      <c r="N306" s="48" t="s">
        <v>1527</v>
      </c>
      <c r="O306" s="46" t="s">
        <v>1528</v>
      </c>
      <c r="P306" s="99" t="s">
        <v>1529</v>
      </c>
      <c r="Q306" s="53" t="s">
        <v>1535</v>
      </c>
      <c r="R306" s="58" t="str">
        <f>HYPERLINK("https://drive.google.com/open?id=1_1ShZRxQRcyhbxc1eIGKiUnoJsWzRd2c","Договор")</f>
        <v>Договор</v>
      </c>
      <c r="S306" s="22" t="str">
        <f>HYPERLINK("https://drive.google.com/open?id=18k-22fCjoBiApn-rAUZ5DGUHDRbgzyvd","Документы")</f>
        <v>Документы</v>
      </c>
      <c r="T306" s="54"/>
      <c r="U306" s="54"/>
    </row>
    <row r="307" spans="1:21" ht="126">
      <c r="A307" s="46">
        <v>294</v>
      </c>
      <c r="B307" s="46" t="s">
        <v>20</v>
      </c>
      <c r="C307" s="46" t="s">
        <v>22</v>
      </c>
      <c r="D307" s="46" t="s">
        <v>21</v>
      </c>
      <c r="E307" s="47" t="s">
        <v>1536</v>
      </c>
      <c r="F307" s="48" t="s">
        <v>1537</v>
      </c>
      <c r="G307" s="48" t="s">
        <v>1538</v>
      </c>
      <c r="H307" s="48" t="s">
        <v>1539</v>
      </c>
      <c r="I307" s="48">
        <v>42884</v>
      </c>
      <c r="J307" s="50">
        <v>1435844.67</v>
      </c>
      <c r="K307" s="50">
        <v>1315685.1000000001</v>
      </c>
      <c r="L307" s="51"/>
      <c r="M307" s="39">
        <v>43296</v>
      </c>
      <c r="N307" s="48" t="s">
        <v>1448</v>
      </c>
      <c r="O307" s="46" t="s">
        <v>1449</v>
      </c>
      <c r="P307" s="52">
        <v>3329054260</v>
      </c>
      <c r="Q307" s="53" t="s">
        <v>1540</v>
      </c>
      <c r="R307" s="58" t="str">
        <f>HYPERLINK("https://drive.google.com/open?id=1LB80x1LOV0xcG4eFPQ-CZw_BngGcNOEV","Договор")</f>
        <v>Договор</v>
      </c>
      <c r="S307" s="54"/>
      <c r="T307" s="54"/>
      <c r="U307" s="54"/>
    </row>
    <row r="308" spans="1:21" ht="94.5">
      <c r="A308" s="46">
        <v>295</v>
      </c>
      <c r="B308" s="46" t="s">
        <v>20</v>
      </c>
      <c r="C308" s="46" t="s">
        <v>22</v>
      </c>
      <c r="D308" s="46" t="s">
        <v>21</v>
      </c>
      <c r="E308" s="47" t="s">
        <v>1541</v>
      </c>
      <c r="F308" s="48" t="s">
        <v>1542</v>
      </c>
      <c r="G308" s="48" t="s">
        <v>1543</v>
      </c>
      <c r="H308" s="49" t="s">
        <v>1544</v>
      </c>
      <c r="I308" s="48">
        <v>42793</v>
      </c>
      <c r="J308" s="50">
        <v>2965493.08</v>
      </c>
      <c r="K308" s="50">
        <v>2692795.59</v>
      </c>
      <c r="L308" s="51"/>
      <c r="M308" s="48">
        <v>43318</v>
      </c>
      <c r="N308" s="48" t="s">
        <v>115</v>
      </c>
      <c r="O308" s="46" t="s">
        <v>116</v>
      </c>
      <c r="P308" s="52">
        <v>3326000435</v>
      </c>
      <c r="Q308" s="53" t="s">
        <v>1545</v>
      </c>
      <c r="R308" s="58" t="str">
        <f>HYPERLINK("https://drive.google.com/open?id=1L9sVuRW4fLKNEsJt1HWGnKFwBEMQIINH","Договор")</f>
        <v>Договор</v>
      </c>
      <c r="S308" s="22" t="str">
        <f>HYPERLINK("https://drive.google.com/open?id=1XnjBNjcTxCrG-T4pnGxRDyrAePGaG8if","Документы")</f>
        <v>Документы</v>
      </c>
      <c r="T308" s="54"/>
      <c r="U308" s="54"/>
    </row>
    <row r="309" spans="1:21" ht="94.5">
      <c r="A309" s="46">
        <v>296</v>
      </c>
      <c r="B309" s="46" t="s">
        <v>20</v>
      </c>
      <c r="C309" s="46" t="s">
        <v>22</v>
      </c>
      <c r="D309" s="46" t="s">
        <v>21</v>
      </c>
      <c r="E309" s="47" t="s">
        <v>1546</v>
      </c>
      <c r="F309" s="48" t="s">
        <v>1547</v>
      </c>
      <c r="G309" s="48" t="s">
        <v>1548</v>
      </c>
      <c r="H309" s="49" t="s">
        <v>1549</v>
      </c>
      <c r="I309" s="48">
        <v>42793</v>
      </c>
      <c r="J309" s="50">
        <v>3756873.45</v>
      </c>
      <c r="K309" s="50">
        <v>3445174.22</v>
      </c>
      <c r="L309" s="51"/>
      <c r="M309" s="48">
        <v>43337</v>
      </c>
      <c r="N309" s="48" t="s">
        <v>115</v>
      </c>
      <c r="O309" s="46" t="s">
        <v>116</v>
      </c>
      <c r="P309" s="52">
        <v>3326000435</v>
      </c>
      <c r="Q309" s="53" t="s">
        <v>1550</v>
      </c>
      <c r="R309" s="58" t="str">
        <f>HYPERLINK("https://drive.google.com/open?id=1BWtgcR-wNgutkS4LMseUwaH88pX5VLPg","Договор")</f>
        <v>Договор</v>
      </c>
      <c r="S309" s="22" t="str">
        <f>HYPERLINK("https://drive.google.com/open?id=1D571ksYiyuGnyyB8cyEGXZoObkbqnqEz","Документы")</f>
        <v>Документы</v>
      </c>
      <c r="T309" s="54"/>
      <c r="U309" s="54"/>
    </row>
    <row r="310" spans="1:21" ht="63">
      <c r="A310" s="46">
        <v>297</v>
      </c>
      <c r="B310" s="46" t="s">
        <v>20</v>
      </c>
      <c r="C310" s="46" t="s">
        <v>504</v>
      </c>
      <c r="D310" s="46" t="s">
        <v>21</v>
      </c>
      <c r="E310" s="46" t="s">
        <v>1551</v>
      </c>
      <c r="F310" s="48" t="s">
        <v>1552</v>
      </c>
      <c r="G310" s="48" t="s">
        <v>1553</v>
      </c>
      <c r="H310" s="90" t="s">
        <v>1554</v>
      </c>
      <c r="I310" s="48">
        <v>42671</v>
      </c>
      <c r="J310" s="50">
        <v>3800081.2</v>
      </c>
      <c r="K310" s="50">
        <v>3781080.79</v>
      </c>
      <c r="L310" s="51"/>
      <c r="M310" s="48" t="s">
        <v>1555</v>
      </c>
      <c r="N310" s="48" t="s">
        <v>53</v>
      </c>
      <c r="O310" s="46" t="s">
        <v>54</v>
      </c>
      <c r="P310" s="52">
        <v>3329058867</v>
      </c>
      <c r="Q310" s="53"/>
      <c r="R310" s="58" t="str">
        <f>HYPERLINK("https://drive.google.com/open?id=1xNjghvK-By3odeuciRG_VGM6rC1y2n1Z","Договор")</f>
        <v>Договор</v>
      </c>
      <c r="S310" s="54"/>
      <c r="T310" s="54"/>
      <c r="U310" s="54"/>
    </row>
    <row r="311" spans="1:21" ht="153">
      <c r="A311" s="55">
        <v>298</v>
      </c>
      <c r="B311" s="53" t="s">
        <v>20</v>
      </c>
      <c r="C311" s="53" t="s">
        <v>504</v>
      </c>
      <c r="D311" s="70" t="s">
        <v>21</v>
      </c>
      <c r="E311" s="46" t="s">
        <v>1556</v>
      </c>
      <c r="F311" s="48" t="s">
        <v>1557</v>
      </c>
      <c r="G311" s="48" t="s">
        <v>1558</v>
      </c>
      <c r="H311" s="90" t="s">
        <v>1559</v>
      </c>
      <c r="I311" s="73">
        <v>42671</v>
      </c>
      <c r="J311" s="50">
        <v>2740093.88</v>
      </c>
      <c r="K311" s="50">
        <v>2517105.83</v>
      </c>
      <c r="L311" s="85" t="s">
        <v>598</v>
      </c>
      <c r="M311" s="116" t="s">
        <v>1560</v>
      </c>
      <c r="N311" s="53" t="s">
        <v>31</v>
      </c>
      <c r="O311" s="53" t="s">
        <v>678</v>
      </c>
      <c r="P311" s="89">
        <v>3304016992</v>
      </c>
      <c r="Q311" s="53"/>
      <c r="R311" s="58" t="str">
        <f>HYPERLINK("https://drive.google.com/open?id=1uuPl-j4vn4D27GK60qYxRbQpPKNkN9Hk","Договор")</f>
        <v>Договор</v>
      </c>
      <c r="S311" s="22" t="str">
        <f>HYPERLINK("https://drive.google.com/open?id=15i0j4E8Jc-Cz8oIzUbluZnyzwfKfmGRJ","Документы")</f>
        <v>Документы</v>
      </c>
      <c r="T311" s="55"/>
      <c r="U311" s="55"/>
    </row>
    <row r="312" spans="1:21" ht="63">
      <c r="A312" s="46">
        <v>299</v>
      </c>
      <c r="B312" s="46" t="s">
        <v>20</v>
      </c>
      <c r="C312" s="46" t="s">
        <v>504</v>
      </c>
      <c r="D312" s="46" t="s">
        <v>21</v>
      </c>
      <c r="E312" s="47" t="s">
        <v>1561</v>
      </c>
      <c r="F312" s="48" t="s">
        <v>1552</v>
      </c>
      <c r="G312" s="48" t="s">
        <v>1562</v>
      </c>
      <c r="H312" s="90" t="s">
        <v>1563</v>
      </c>
      <c r="I312" s="79">
        <v>42793</v>
      </c>
      <c r="J312" s="50">
        <v>1895822.09</v>
      </c>
      <c r="K312" s="97">
        <v>1742326.63</v>
      </c>
      <c r="L312" s="51"/>
      <c r="M312" s="46" t="s">
        <v>1564</v>
      </c>
      <c r="N312" s="48" t="s">
        <v>513</v>
      </c>
      <c r="O312" s="92" t="s">
        <v>801</v>
      </c>
      <c r="P312" s="52">
        <v>3308004490</v>
      </c>
      <c r="Q312" s="46"/>
      <c r="R312" s="58" t="str">
        <f>HYPERLINK("https://drive.google.com/open?id=1rcb7itRnmpLJqYeuQvR7PJfgBa2uW0zM","Договор")</f>
        <v>Договор</v>
      </c>
      <c r="S312" s="46"/>
      <c r="T312" s="46"/>
      <c r="U312" s="47"/>
    </row>
    <row r="313" spans="1:21" ht="63">
      <c r="A313" s="46">
        <v>300</v>
      </c>
      <c r="B313" s="46" t="s">
        <v>20</v>
      </c>
      <c r="C313" s="46" t="s">
        <v>504</v>
      </c>
      <c r="D313" s="46" t="s">
        <v>21</v>
      </c>
      <c r="E313" s="47" t="s">
        <v>1565</v>
      </c>
      <c r="F313" s="48" t="s">
        <v>1552</v>
      </c>
      <c r="G313" s="48" t="s">
        <v>1566</v>
      </c>
      <c r="H313" s="90" t="s">
        <v>1567</v>
      </c>
      <c r="I313" s="79">
        <v>42793</v>
      </c>
      <c r="J313" s="50">
        <v>2865854.21</v>
      </c>
      <c r="K313" s="97">
        <v>2684963.99</v>
      </c>
      <c r="L313" s="51"/>
      <c r="M313" s="46" t="s">
        <v>1568</v>
      </c>
      <c r="N313" s="48" t="s">
        <v>513</v>
      </c>
      <c r="O313" s="92" t="s">
        <v>801</v>
      </c>
      <c r="P313" s="52">
        <v>3308004490</v>
      </c>
      <c r="Q313" s="46"/>
      <c r="R313" s="58" t="str">
        <f>HYPERLINK("https://drive.google.com/open?id=1qADih0WRyzIkAqQBkZTYln0oXNjzSGrD","Договор")</f>
        <v>Договор</v>
      </c>
      <c r="S313" s="46"/>
      <c r="T313" s="46"/>
      <c r="U313" s="47"/>
    </row>
    <row r="314" spans="1:21" ht="63">
      <c r="A314" s="55">
        <v>301</v>
      </c>
      <c r="B314" s="53" t="s">
        <v>20</v>
      </c>
      <c r="C314" s="46" t="s">
        <v>504</v>
      </c>
      <c r="D314" s="46" t="s">
        <v>21</v>
      </c>
      <c r="E314" s="47" t="s">
        <v>1569</v>
      </c>
      <c r="F314" s="48" t="s">
        <v>1552</v>
      </c>
      <c r="G314" s="48" t="s">
        <v>1570</v>
      </c>
      <c r="H314" s="90" t="s">
        <v>1571</v>
      </c>
      <c r="I314" s="86">
        <v>42885</v>
      </c>
      <c r="J314" s="50">
        <v>3075943.97</v>
      </c>
      <c r="K314" s="50">
        <v>2835685.46</v>
      </c>
      <c r="L314" s="85" t="s">
        <v>629</v>
      </c>
      <c r="M314" s="87" t="s">
        <v>1572</v>
      </c>
      <c r="N314" s="53" t="s">
        <v>631</v>
      </c>
      <c r="O314" s="53" t="s">
        <v>1573</v>
      </c>
      <c r="P314" s="55">
        <v>3327118743</v>
      </c>
      <c r="Q314" s="53"/>
      <c r="R314" s="58" t="str">
        <f>HYPERLINK("https://drive.google.com/open?id=1TOZTgP7nu3kWNWUGZlhfd-b6uiXJyonS","Договор")</f>
        <v>Договор</v>
      </c>
      <c r="S314" s="55"/>
      <c r="T314" s="55"/>
      <c r="U314" s="55"/>
    </row>
    <row r="315" spans="1:21" ht="110.25">
      <c r="A315" s="55">
        <v>302</v>
      </c>
      <c r="B315" s="53" t="s">
        <v>20</v>
      </c>
      <c r="C315" s="46" t="s">
        <v>504</v>
      </c>
      <c r="D315" s="46" t="s">
        <v>21</v>
      </c>
      <c r="E315" s="47" t="s">
        <v>1574</v>
      </c>
      <c r="F315" s="48" t="s">
        <v>1557</v>
      </c>
      <c r="G315" s="48" t="s">
        <v>1575</v>
      </c>
      <c r="H315" s="90" t="s">
        <v>1576</v>
      </c>
      <c r="I315" s="79">
        <v>43235</v>
      </c>
      <c r="J315" s="50">
        <v>499225.15</v>
      </c>
      <c r="K315" s="50">
        <v>423072.16</v>
      </c>
      <c r="L315" s="85"/>
      <c r="M315" s="87" t="s">
        <v>265</v>
      </c>
      <c r="N315" s="53" t="s">
        <v>1577</v>
      </c>
      <c r="O315" s="53" t="s">
        <v>1578</v>
      </c>
      <c r="P315" s="55">
        <v>3327118743</v>
      </c>
      <c r="Q315" s="53" t="s">
        <v>1579</v>
      </c>
      <c r="R315" s="58" t="str">
        <f>HYPERLINK("https://drive.google.com/open?id=1w7H6NrQ3s0SNsd8HHaugnUqlAHfX2Xgr","Договор")</f>
        <v>Договор</v>
      </c>
      <c r="S315" s="22" t="str">
        <f>HYPERLINK("https://drive.google.com/open?id=1APkIlUihBsMT5fdCQDuaW8I4adQhyFPY","Документы")</f>
        <v>Документы</v>
      </c>
      <c r="T315" s="55"/>
      <c r="U315" s="55"/>
    </row>
    <row r="316" spans="1:21" ht="110.25">
      <c r="A316" s="55">
        <v>303</v>
      </c>
      <c r="B316" s="53" t="s">
        <v>20</v>
      </c>
      <c r="C316" s="46" t="s">
        <v>504</v>
      </c>
      <c r="D316" s="46" t="s">
        <v>21</v>
      </c>
      <c r="E316" s="47" t="s">
        <v>1574</v>
      </c>
      <c r="F316" s="48" t="s">
        <v>1557</v>
      </c>
      <c r="G316" s="48" t="s">
        <v>1580</v>
      </c>
      <c r="H316" s="90" t="s">
        <v>1581</v>
      </c>
      <c r="I316" s="79">
        <v>43235</v>
      </c>
      <c r="J316" s="50">
        <v>121076.36</v>
      </c>
      <c r="K316" s="50">
        <v>102607.08</v>
      </c>
      <c r="L316" s="85"/>
      <c r="M316" s="87" t="s">
        <v>1582</v>
      </c>
      <c r="N316" s="53" t="s">
        <v>1577</v>
      </c>
      <c r="O316" s="53" t="s">
        <v>1578</v>
      </c>
      <c r="P316" s="55">
        <v>3327118743</v>
      </c>
      <c r="Q316" s="53" t="s">
        <v>1583</v>
      </c>
      <c r="R316" s="58" t="str">
        <f>HYPERLINK("https://drive.google.com/open?id=1dxFXk4sCC-_mozBsaC-VaDnrE-siASaX","Договор")</f>
        <v>Договор</v>
      </c>
      <c r="S316" s="22" t="str">
        <f>HYPERLINK("https://drive.google.com/open?id=1D6qXLgakjksAJWcIqS_Ta8UaARCPuZg_","Документы")</f>
        <v>Документы</v>
      </c>
      <c r="T316" s="55"/>
      <c r="U316" s="55"/>
    </row>
    <row r="317" spans="1:21" ht="110.25">
      <c r="A317" s="55">
        <v>304</v>
      </c>
      <c r="B317" s="53" t="s">
        <v>20</v>
      </c>
      <c r="C317" s="46" t="s">
        <v>504</v>
      </c>
      <c r="D317" s="46" t="s">
        <v>21</v>
      </c>
      <c r="E317" s="47" t="s">
        <v>1584</v>
      </c>
      <c r="F317" s="48" t="s">
        <v>1585</v>
      </c>
      <c r="G317" s="48" t="s">
        <v>1586</v>
      </c>
      <c r="H317" s="90" t="s">
        <v>1587</v>
      </c>
      <c r="I317" s="79">
        <v>43235</v>
      </c>
      <c r="J317" s="50">
        <v>244705.56</v>
      </c>
      <c r="K317" s="50">
        <v>207377.59</v>
      </c>
      <c r="L317" s="85"/>
      <c r="M317" s="87" t="s">
        <v>91</v>
      </c>
      <c r="N317" s="53" t="s">
        <v>1577</v>
      </c>
      <c r="O317" s="53" t="s">
        <v>1578</v>
      </c>
      <c r="P317" s="55">
        <v>3327118743</v>
      </c>
      <c r="Q317" s="53" t="s">
        <v>1588</v>
      </c>
      <c r="R317" s="58" t="str">
        <f>HYPERLINK("https://drive.google.com/open?id=1tXEImzZ2XhPLwYu8Ip-Jyi3aYfrf46-R","Договор")</f>
        <v>Договор</v>
      </c>
      <c r="S317" s="22" t="str">
        <f>HYPERLINK("https://drive.google.com/open?id=1qYOwhAvtUAQoGg0BmgsSliWn36XkGRDb","Документы")</f>
        <v>Документы</v>
      </c>
      <c r="T317" s="55"/>
      <c r="U317" s="55"/>
    </row>
    <row r="318" spans="1:21" ht="110.25">
      <c r="A318" s="55">
        <v>305</v>
      </c>
      <c r="B318" s="53" t="s">
        <v>20</v>
      </c>
      <c r="C318" s="46" t="s">
        <v>504</v>
      </c>
      <c r="D318" s="46" t="s">
        <v>21</v>
      </c>
      <c r="E318" s="47" t="s">
        <v>1589</v>
      </c>
      <c r="F318" s="48" t="s">
        <v>1585</v>
      </c>
      <c r="G318" s="48" t="s">
        <v>1590</v>
      </c>
      <c r="H318" s="90" t="s">
        <v>1587</v>
      </c>
      <c r="I318" s="79">
        <v>43235</v>
      </c>
      <c r="J318" s="50">
        <v>277481.51</v>
      </c>
      <c r="K318" s="50">
        <v>235153.82</v>
      </c>
      <c r="L318" s="85"/>
      <c r="M318" s="87" t="s">
        <v>91</v>
      </c>
      <c r="N318" s="53" t="s">
        <v>1577</v>
      </c>
      <c r="O318" s="53" t="s">
        <v>1578</v>
      </c>
      <c r="P318" s="55">
        <v>3327118743</v>
      </c>
      <c r="Q318" s="53" t="s">
        <v>1591</v>
      </c>
      <c r="R318" s="58" t="str">
        <f>HYPERLINK("https://drive.google.com/open?id=1Uc7Le2uar7yVGIsUz9JF7dAE3FjTxwV2","Договор")</f>
        <v>Договор</v>
      </c>
      <c r="S318" s="22" t="str">
        <f>HYPERLINK("https://drive.google.com/open?id=1LeqnKhvVkkFGBNnIS0bXfEwv7cnRRrp2","Документы")</f>
        <v>Документы</v>
      </c>
      <c r="T318" s="55"/>
      <c r="U318" s="55"/>
    </row>
    <row r="319" spans="1:21" ht="110.25">
      <c r="A319" s="55">
        <v>306</v>
      </c>
      <c r="B319" s="53" t="s">
        <v>20</v>
      </c>
      <c r="C319" s="46" t="s">
        <v>504</v>
      </c>
      <c r="D319" s="46" t="s">
        <v>21</v>
      </c>
      <c r="E319" s="47" t="s">
        <v>1592</v>
      </c>
      <c r="F319" s="48" t="s">
        <v>1585</v>
      </c>
      <c r="G319" s="48" t="s">
        <v>1593</v>
      </c>
      <c r="H319" s="90" t="s">
        <v>1470</v>
      </c>
      <c r="I319" s="79">
        <v>43235</v>
      </c>
      <c r="J319" s="50">
        <v>619192.47</v>
      </c>
      <c r="K319" s="50">
        <v>524739.39</v>
      </c>
      <c r="L319" s="85"/>
      <c r="M319" s="87" t="s">
        <v>265</v>
      </c>
      <c r="N319" s="53" t="s">
        <v>1577</v>
      </c>
      <c r="O319" s="53" t="s">
        <v>1578</v>
      </c>
      <c r="P319" s="55">
        <v>3327118743</v>
      </c>
      <c r="Q319" s="53" t="s">
        <v>1594</v>
      </c>
      <c r="R319" s="58" t="str">
        <f>HYPERLINK("https://drive.google.com/open?id=1NCkq9eNkwLDH3Pf_9WFewjnD9cK-T0PS","Договор")</f>
        <v>Договор</v>
      </c>
      <c r="S319" s="22" t="str">
        <f>HYPERLINK("https://drive.google.com/open?id=1ZAEOj_H05qWvY8pWofVEVYLs6qdx5aEz","Документы")</f>
        <v>Документы</v>
      </c>
      <c r="T319" s="55"/>
      <c r="U319" s="55"/>
    </row>
    <row r="320" spans="1:21" ht="63">
      <c r="A320" s="46">
        <v>307</v>
      </c>
      <c r="B320" s="46" t="s">
        <v>20</v>
      </c>
      <c r="C320" s="46" t="s">
        <v>504</v>
      </c>
      <c r="D320" s="46" t="s">
        <v>21</v>
      </c>
      <c r="E320" s="46" t="s">
        <v>1595</v>
      </c>
      <c r="F320" s="48" t="s">
        <v>1596</v>
      </c>
      <c r="G320" s="48" t="s">
        <v>1597</v>
      </c>
      <c r="H320" s="91" t="s">
        <v>1598</v>
      </c>
      <c r="I320" s="79">
        <v>42793</v>
      </c>
      <c r="J320" s="50">
        <v>3185196.85</v>
      </c>
      <c r="K320" s="50">
        <v>2930083.14</v>
      </c>
      <c r="L320" s="51"/>
      <c r="M320" s="48">
        <v>43316</v>
      </c>
      <c r="N320" s="48" t="s">
        <v>794</v>
      </c>
      <c r="O320" s="46" t="s">
        <v>795</v>
      </c>
      <c r="P320" s="52">
        <v>3304010990</v>
      </c>
      <c r="Q320" s="53" t="s">
        <v>1599</v>
      </c>
      <c r="R320" s="58" t="str">
        <f>HYPERLINK("https://drive.google.com/open?id=1I_uIHznYdXRKnm_lXrsosYtQ9swXTJMm","Договор")</f>
        <v>Договор</v>
      </c>
      <c r="S320" s="22" t="str">
        <f>HYPERLINK("https://drive.google.com/open?id=1WMlBEHEJGzXFO_I4Dukhg2ZyVnaJEk-G","Документы")</f>
        <v>Документы</v>
      </c>
      <c r="T320" s="46"/>
      <c r="U320" s="47"/>
    </row>
    <row r="321" spans="1:21" ht="63">
      <c r="A321" s="46">
        <v>308</v>
      </c>
      <c r="B321" s="46" t="s">
        <v>20</v>
      </c>
      <c r="C321" s="46" t="s">
        <v>504</v>
      </c>
      <c r="D321" s="46" t="s">
        <v>21</v>
      </c>
      <c r="E321" s="117" t="s">
        <v>1600</v>
      </c>
      <c r="F321" s="48" t="s">
        <v>1601</v>
      </c>
      <c r="G321" s="48" t="s">
        <v>1602</v>
      </c>
      <c r="H321" s="49" t="s">
        <v>1603</v>
      </c>
      <c r="I321" s="48">
        <v>42793</v>
      </c>
      <c r="J321" s="50">
        <v>1692076.39</v>
      </c>
      <c r="K321" s="50">
        <v>1692076.39</v>
      </c>
      <c r="L321" s="51">
        <v>0</v>
      </c>
      <c r="M321" s="48">
        <v>43318</v>
      </c>
      <c r="N321" s="48" t="s">
        <v>1200</v>
      </c>
      <c r="O321" s="46" t="s">
        <v>1201</v>
      </c>
      <c r="P321" s="52">
        <v>3305003918</v>
      </c>
      <c r="Q321" s="46"/>
      <c r="R321" s="58" t="str">
        <f>HYPERLINK("https://drive.google.com/open?id=1s8ViHJ43K8tnAAK_HYoCQKY5W9vV8xpE","Договор")</f>
        <v>Договор</v>
      </c>
      <c r="S321" s="46"/>
      <c r="T321" s="46"/>
      <c r="U321" s="47"/>
    </row>
    <row r="322" spans="1:21" ht="63">
      <c r="A322" s="46">
        <v>309</v>
      </c>
      <c r="B322" s="46" t="s">
        <v>20</v>
      </c>
      <c r="C322" s="46" t="s">
        <v>504</v>
      </c>
      <c r="D322" s="46" t="s">
        <v>21</v>
      </c>
      <c r="E322" s="117" t="s">
        <v>1604</v>
      </c>
      <c r="F322" s="48" t="s">
        <v>1605</v>
      </c>
      <c r="G322" s="48" t="s">
        <v>1606</v>
      </c>
      <c r="H322" s="49" t="s">
        <v>1607</v>
      </c>
      <c r="I322" s="48">
        <v>42793</v>
      </c>
      <c r="J322" s="50">
        <v>2284887.14</v>
      </c>
      <c r="K322" s="50">
        <v>2284887.14</v>
      </c>
      <c r="L322" s="51">
        <v>0</v>
      </c>
      <c r="M322" s="48">
        <v>43311</v>
      </c>
      <c r="N322" s="48" t="s">
        <v>1200</v>
      </c>
      <c r="O322" s="46" t="s">
        <v>1201</v>
      </c>
      <c r="P322" s="52">
        <v>3305003918</v>
      </c>
      <c r="Q322" s="46"/>
      <c r="R322" s="58" t="str">
        <f>HYPERLINK("https://drive.google.com/open?id=1OrbjWiyI-ptvw6sKbjFs7fBRIBwdrVNj","Договор")</f>
        <v>Договор</v>
      </c>
      <c r="S322" s="46"/>
      <c r="T322" s="46"/>
      <c r="U322" s="47"/>
    </row>
    <row r="323" spans="1:21" ht="63">
      <c r="A323" s="46">
        <v>310</v>
      </c>
      <c r="B323" s="46" t="s">
        <v>20</v>
      </c>
      <c r="C323" s="46" t="s">
        <v>504</v>
      </c>
      <c r="D323" s="46" t="s">
        <v>21</v>
      </c>
      <c r="E323" s="117" t="s">
        <v>1608</v>
      </c>
      <c r="F323" s="48" t="s">
        <v>1609</v>
      </c>
      <c r="G323" s="48" t="s">
        <v>1610</v>
      </c>
      <c r="H323" s="49" t="s">
        <v>1611</v>
      </c>
      <c r="I323" s="48">
        <v>42793</v>
      </c>
      <c r="J323" s="50">
        <v>3574502.69</v>
      </c>
      <c r="K323" s="50">
        <v>3574502.69</v>
      </c>
      <c r="L323" s="51">
        <v>0</v>
      </c>
      <c r="M323" s="48">
        <v>43350</v>
      </c>
      <c r="N323" s="48" t="s">
        <v>1200</v>
      </c>
      <c r="O323" s="46" t="s">
        <v>1201</v>
      </c>
      <c r="P323" s="52">
        <v>3305003918</v>
      </c>
      <c r="Q323" s="46"/>
      <c r="R323" s="58" t="str">
        <f>HYPERLINK("https://drive.google.com/open?id=1s-vAJ23IN9yQEVbqYAEhWTlbUp21aKjo","Договор")</f>
        <v>Договор</v>
      </c>
      <c r="S323" s="46"/>
      <c r="T323" s="46"/>
      <c r="U323" s="47"/>
    </row>
    <row r="324" spans="1:21" ht="63">
      <c r="A324" s="46">
        <v>311</v>
      </c>
      <c r="B324" s="46" t="s">
        <v>20</v>
      </c>
      <c r="C324" s="46" t="s">
        <v>504</v>
      </c>
      <c r="D324" s="46" t="s">
        <v>21</v>
      </c>
      <c r="E324" s="117" t="s">
        <v>1612</v>
      </c>
      <c r="F324" s="48" t="s">
        <v>1613</v>
      </c>
      <c r="G324" s="48" t="s">
        <v>1614</v>
      </c>
      <c r="H324" s="49" t="s">
        <v>1615</v>
      </c>
      <c r="I324" s="48">
        <v>42793</v>
      </c>
      <c r="J324" s="50">
        <v>2251642.33</v>
      </c>
      <c r="K324" s="50">
        <v>2073928.61</v>
      </c>
      <c r="L324" s="51"/>
      <c r="M324" s="48">
        <v>43336</v>
      </c>
      <c r="N324" s="48" t="s">
        <v>120</v>
      </c>
      <c r="O324" s="46" t="s">
        <v>121</v>
      </c>
      <c r="P324" s="52">
        <v>3305713379</v>
      </c>
      <c r="Q324" s="53" t="s">
        <v>1616</v>
      </c>
      <c r="R324" s="58" t="str">
        <f>HYPERLINK("https://drive.google.com/open?id=1mGOiAE5ysc7_KMJ21IIzZmVfkd4wpcup","Договор")</f>
        <v>Договор</v>
      </c>
      <c r="S324" s="54"/>
      <c r="T324" s="54"/>
      <c r="U324" s="54"/>
    </row>
    <row r="325" spans="1:21" ht="63">
      <c r="A325" s="46">
        <v>312</v>
      </c>
      <c r="B325" s="46" t="s">
        <v>20</v>
      </c>
      <c r="C325" s="46" t="s">
        <v>504</v>
      </c>
      <c r="D325" s="46" t="s">
        <v>21</v>
      </c>
      <c r="E325" s="117" t="s">
        <v>1617</v>
      </c>
      <c r="F325" s="48" t="s">
        <v>1618</v>
      </c>
      <c r="G325" s="48" t="s">
        <v>1619</v>
      </c>
      <c r="H325" s="49" t="s">
        <v>1620</v>
      </c>
      <c r="I325" s="48">
        <v>42793</v>
      </c>
      <c r="J325" s="50">
        <v>2841094.2</v>
      </c>
      <c r="K325" s="50">
        <v>2621271.4900000002</v>
      </c>
      <c r="L325" s="51"/>
      <c r="M325" s="48">
        <v>43320</v>
      </c>
      <c r="N325" s="48" t="s">
        <v>120</v>
      </c>
      <c r="O325" s="46" t="s">
        <v>121</v>
      </c>
      <c r="P325" s="52">
        <v>3305713379</v>
      </c>
      <c r="Q325" s="53" t="s">
        <v>1621</v>
      </c>
      <c r="R325" s="58" t="str">
        <f>HYPERLINK("https://drive.google.com/open?id=1UVoXb-rdD4QdaybxveCmAK-FCHiiEtrB","Договор")</f>
        <v>Договор</v>
      </c>
      <c r="S325" s="54"/>
      <c r="T325" s="54"/>
      <c r="U325" s="54"/>
    </row>
    <row r="326" spans="1:21" ht="63">
      <c r="A326" s="46">
        <v>313</v>
      </c>
      <c r="B326" s="46" t="s">
        <v>20</v>
      </c>
      <c r="C326" s="46" t="s">
        <v>504</v>
      </c>
      <c r="D326" s="46" t="s">
        <v>21</v>
      </c>
      <c r="E326" s="117" t="s">
        <v>1622</v>
      </c>
      <c r="F326" s="48" t="s">
        <v>1623</v>
      </c>
      <c r="G326" s="48" t="s">
        <v>1624</v>
      </c>
      <c r="H326" s="49" t="s">
        <v>1625</v>
      </c>
      <c r="I326" s="48">
        <v>42793</v>
      </c>
      <c r="J326" s="50">
        <v>2022137.56</v>
      </c>
      <c r="K326" s="50">
        <v>1867094.1</v>
      </c>
      <c r="L326" s="51"/>
      <c r="M326" s="48">
        <v>43326</v>
      </c>
      <c r="N326" s="48" t="s">
        <v>120</v>
      </c>
      <c r="O326" s="46" t="s">
        <v>121</v>
      </c>
      <c r="P326" s="52">
        <v>3305713379</v>
      </c>
      <c r="Q326" s="53" t="s">
        <v>1626</v>
      </c>
      <c r="R326" s="58" t="str">
        <f>HYPERLINK("https://drive.google.com/open?id=1Dye9lKMRDOoedjCeuWR0eJLhHOy82gcp","Договор")</f>
        <v>Договор</v>
      </c>
      <c r="S326" s="54"/>
      <c r="T326" s="54"/>
      <c r="U326" s="54"/>
    </row>
    <row r="327" spans="1:21" ht="63">
      <c r="A327" s="46">
        <v>314</v>
      </c>
      <c r="B327" s="46" t="s">
        <v>20</v>
      </c>
      <c r="C327" s="46" t="s">
        <v>504</v>
      </c>
      <c r="D327" s="60" t="s">
        <v>21</v>
      </c>
      <c r="E327" s="117" t="s">
        <v>1627</v>
      </c>
      <c r="F327" s="48" t="s">
        <v>1628</v>
      </c>
      <c r="G327" s="61" t="s">
        <v>1629</v>
      </c>
      <c r="H327" s="61" t="s">
        <v>1630</v>
      </c>
      <c r="I327" s="61">
        <v>42671</v>
      </c>
      <c r="J327" s="63">
        <v>2265340.06</v>
      </c>
      <c r="K327" s="63">
        <v>2023561.29</v>
      </c>
      <c r="L327" s="64"/>
      <c r="M327" s="61">
        <v>43346</v>
      </c>
      <c r="N327" s="61" t="s">
        <v>534</v>
      </c>
      <c r="O327" s="60" t="s">
        <v>535</v>
      </c>
      <c r="P327" s="65">
        <v>332701116371</v>
      </c>
      <c r="Q327" s="53" t="s">
        <v>1631</v>
      </c>
      <c r="R327" s="58" t="str">
        <f>HYPERLINK("https://drive.google.com/open?id=1ou5MsmbomMzamxTMkjsGK67ivbaaGguD","Договор")</f>
        <v>Договор</v>
      </c>
      <c r="S327" s="22" t="str">
        <f>HYPERLINK("https://drive.google.com/open?id=1_e4yzU9QJVA_zlUw7HylfDyNKiIDKT9U","Документы")</f>
        <v>Документы</v>
      </c>
      <c r="T327" s="59"/>
      <c r="U327" s="59"/>
    </row>
    <row r="328" spans="1:21" ht="63">
      <c r="A328" s="46">
        <v>315</v>
      </c>
      <c r="B328" s="46" t="s">
        <v>20</v>
      </c>
      <c r="C328" s="46" t="s">
        <v>504</v>
      </c>
      <c r="D328" s="60" t="s">
        <v>21</v>
      </c>
      <c r="E328" s="117" t="s">
        <v>1632</v>
      </c>
      <c r="F328" s="48" t="s">
        <v>1633</v>
      </c>
      <c r="G328" s="61" t="s">
        <v>1634</v>
      </c>
      <c r="H328" s="61" t="s">
        <v>1635</v>
      </c>
      <c r="I328" s="61">
        <v>42671</v>
      </c>
      <c r="J328" s="63">
        <v>3615463.79</v>
      </c>
      <c r="K328" s="63">
        <v>3259920.63</v>
      </c>
      <c r="L328" s="64"/>
      <c r="M328" s="61">
        <v>43346</v>
      </c>
      <c r="N328" s="61" t="s">
        <v>534</v>
      </c>
      <c r="O328" s="60" t="s">
        <v>535</v>
      </c>
      <c r="P328" s="65">
        <v>332701116371</v>
      </c>
      <c r="Q328" s="53" t="s">
        <v>1636</v>
      </c>
      <c r="R328" s="58" t="str">
        <f>HYPERLINK("https://drive.google.com/open?id=1d_WjI8shJaqUdTz4HnGVqfl6tM88BZaZ","Договор")</f>
        <v>Договор</v>
      </c>
      <c r="S328" s="59"/>
      <c r="T328" s="59"/>
      <c r="U328" s="59"/>
    </row>
    <row r="329" spans="1:21" ht="78.75">
      <c r="A329" s="55">
        <v>316</v>
      </c>
      <c r="B329" s="53" t="s">
        <v>20</v>
      </c>
      <c r="C329" s="46" t="s">
        <v>504</v>
      </c>
      <c r="D329" s="60" t="s">
        <v>21</v>
      </c>
      <c r="E329" s="117" t="s">
        <v>1637</v>
      </c>
      <c r="F329" s="48" t="s">
        <v>1638</v>
      </c>
      <c r="G329" s="61" t="s">
        <v>1639</v>
      </c>
      <c r="H329" s="61" t="s">
        <v>1640</v>
      </c>
      <c r="I329" s="86">
        <v>42793</v>
      </c>
      <c r="J329" s="50">
        <v>1598120.36</v>
      </c>
      <c r="K329" s="50">
        <v>1464853.23</v>
      </c>
      <c r="L329" s="85"/>
      <c r="M329" s="87">
        <v>43315</v>
      </c>
      <c r="N329" s="53" t="s">
        <v>641</v>
      </c>
      <c r="O329" s="53" t="s">
        <v>642</v>
      </c>
      <c r="P329" s="55">
        <v>3304018728</v>
      </c>
      <c r="Q329" s="53" t="s">
        <v>1641</v>
      </c>
      <c r="R329" s="58" t="str">
        <f>HYPERLINK("https://drive.google.com/open?id=1cgun-1oEmVrKFx3BbOwNsc2q0xhxZnnc","Договор")</f>
        <v>Договор</v>
      </c>
      <c r="S329" s="55"/>
      <c r="T329" s="55"/>
      <c r="U329" s="55"/>
    </row>
    <row r="330" spans="1:21" ht="94.5">
      <c r="A330" s="46">
        <v>317</v>
      </c>
      <c r="B330" s="46" t="s">
        <v>20</v>
      </c>
      <c r="C330" s="46" t="s">
        <v>504</v>
      </c>
      <c r="D330" s="46" t="s">
        <v>505</v>
      </c>
      <c r="E330" s="47"/>
      <c r="F330" s="48" t="s">
        <v>1642</v>
      </c>
      <c r="G330" s="48" t="s">
        <v>1643</v>
      </c>
      <c r="H330" s="49" t="s">
        <v>1198</v>
      </c>
      <c r="I330" s="48"/>
      <c r="J330" s="50"/>
      <c r="K330" s="50">
        <v>1810470.25</v>
      </c>
      <c r="L330" s="51">
        <v>0</v>
      </c>
      <c r="M330" s="48">
        <v>43301</v>
      </c>
      <c r="N330" s="48" t="s">
        <v>1644</v>
      </c>
      <c r="O330" s="46" t="s">
        <v>1645</v>
      </c>
      <c r="P330" s="52">
        <v>3303002034</v>
      </c>
      <c r="Q330" s="46"/>
      <c r="R330" s="58" t="str">
        <f>HYPERLINK("https://drive.google.com/open?id=1mRcLLZrFV_GS9u4XmHtJKfJNOcig9frj","Договор")</f>
        <v>Договор</v>
      </c>
      <c r="S330" s="46"/>
      <c r="T330" s="46"/>
      <c r="U330" s="47"/>
    </row>
    <row r="331" spans="1:21" ht="94.5">
      <c r="A331" s="46">
        <v>318</v>
      </c>
      <c r="B331" s="46" t="s">
        <v>20</v>
      </c>
      <c r="C331" s="46" t="s">
        <v>504</v>
      </c>
      <c r="D331" s="46" t="s">
        <v>21</v>
      </c>
      <c r="E331" s="117" t="s">
        <v>1646</v>
      </c>
      <c r="F331" s="48" t="s">
        <v>1647</v>
      </c>
      <c r="G331" s="48" t="s">
        <v>1648</v>
      </c>
      <c r="H331" s="48" t="s">
        <v>1649</v>
      </c>
      <c r="I331" s="48">
        <v>42671</v>
      </c>
      <c r="J331" s="50">
        <v>2827914.29</v>
      </c>
      <c r="K331" s="50">
        <v>2658903.9700000002</v>
      </c>
      <c r="L331" s="51"/>
      <c r="M331" s="48">
        <v>43312</v>
      </c>
      <c r="N331" s="48" t="s">
        <v>257</v>
      </c>
      <c r="O331" s="46" t="s">
        <v>258</v>
      </c>
      <c r="P331" s="52">
        <v>330700346964</v>
      </c>
      <c r="Q331" s="53" t="s">
        <v>1650</v>
      </c>
      <c r="R331" s="58" t="str">
        <f>HYPERLINK("https://drive.google.com/open?id=1hUjigM7bMd0od0COHwFEt8msS2Bs4SOm","Договор")</f>
        <v>Договор</v>
      </c>
      <c r="S331" s="22" t="str">
        <f>HYPERLINK("https://drive.google.com/open?id=1TIlbFKikcnFFsh-QjyhvJbMet6YYs0xx","Документы")</f>
        <v>Документы</v>
      </c>
      <c r="T331" s="54"/>
      <c r="U331" s="54"/>
    </row>
    <row r="332" spans="1:21" ht="78.75">
      <c r="A332" s="46">
        <v>319</v>
      </c>
      <c r="B332" s="46" t="s">
        <v>20</v>
      </c>
      <c r="C332" s="46" t="s">
        <v>504</v>
      </c>
      <c r="D332" s="46" t="s">
        <v>21</v>
      </c>
      <c r="E332" s="117" t="s">
        <v>1651</v>
      </c>
      <c r="F332" s="48" t="s">
        <v>1652</v>
      </c>
      <c r="G332" s="48" t="s">
        <v>1653</v>
      </c>
      <c r="H332" s="90" t="s">
        <v>1004</v>
      </c>
      <c r="I332" s="48">
        <v>42779</v>
      </c>
      <c r="J332" s="50">
        <v>859223.59</v>
      </c>
      <c r="K332" s="97">
        <v>728155.57</v>
      </c>
      <c r="L332" s="51"/>
      <c r="M332" s="48" t="s">
        <v>265</v>
      </c>
      <c r="N332" s="48" t="s">
        <v>173</v>
      </c>
      <c r="O332" s="46" t="s">
        <v>174</v>
      </c>
      <c r="P332" s="52">
        <v>4345265453</v>
      </c>
      <c r="Q332" s="53" t="s">
        <v>1654</v>
      </c>
      <c r="R332" s="58" t="str">
        <f>HYPERLINK("https://drive.google.com/open?id=1M1vgZgPN1Y3MsTuTa2BYwvJtQH5-uyKQ","Договор")</f>
        <v>Договор</v>
      </c>
      <c r="S332" s="22" t="str">
        <f>HYPERLINK("https://drive.google.com/open?id=1ZsxFkfA4G6Mop3GIIpplWHNtwRHUgD72","Документы")</f>
        <v>Документы</v>
      </c>
      <c r="T332" s="46"/>
      <c r="U332" s="54"/>
    </row>
    <row r="333" spans="1:21" ht="78.75">
      <c r="A333" s="55">
        <v>320</v>
      </c>
      <c r="B333" s="53" t="s">
        <v>20</v>
      </c>
      <c r="C333" s="53" t="s">
        <v>504</v>
      </c>
      <c r="D333" s="70" t="s">
        <v>21</v>
      </c>
      <c r="E333" s="118" t="s">
        <v>1655</v>
      </c>
      <c r="F333" s="39" t="s">
        <v>1656</v>
      </c>
      <c r="G333" s="53" t="s">
        <v>1657</v>
      </c>
      <c r="H333" s="80" t="s">
        <v>1658</v>
      </c>
      <c r="I333" s="86">
        <v>42885</v>
      </c>
      <c r="J333" s="50">
        <v>2821460.63</v>
      </c>
      <c r="K333" s="50">
        <v>2592863.09</v>
      </c>
      <c r="L333" s="85"/>
      <c r="M333" s="87" t="s">
        <v>1659</v>
      </c>
      <c r="N333" s="53" t="s">
        <v>624</v>
      </c>
      <c r="O333" s="53" t="s">
        <v>625</v>
      </c>
      <c r="P333" s="55">
        <v>3328457763</v>
      </c>
      <c r="Q333" s="53"/>
      <c r="R333" s="58" t="str">
        <f>HYPERLINK("https://drive.google.com/open?id=1qvv_p-KQd3TQAg9KPkLdrG_ER3FQv7Ny","Договор")</f>
        <v>Договор</v>
      </c>
      <c r="S333" s="22" t="str">
        <f>HYPERLINK("https://drive.google.com/open?id=1Cp41ba9Db4VVWzLPs3ESMKX7i4V46WgH","Документы")</f>
        <v>Документы</v>
      </c>
      <c r="T333" s="55"/>
      <c r="U333" s="55"/>
    </row>
    <row r="334" spans="1:21" ht="78.75">
      <c r="A334" s="55">
        <v>321</v>
      </c>
      <c r="B334" s="46" t="s">
        <v>20</v>
      </c>
      <c r="C334" s="46" t="s">
        <v>504</v>
      </c>
      <c r="D334" s="46" t="s">
        <v>21</v>
      </c>
      <c r="E334" s="118" t="s">
        <v>1660</v>
      </c>
      <c r="F334" s="39" t="s">
        <v>1661</v>
      </c>
      <c r="G334" s="48" t="s">
        <v>1662</v>
      </c>
      <c r="H334" s="90" t="s">
        <v>1663</v>
      </c>
      <c r="I334" s="48">
        <v>42885</v>
      </c>
      <c r="J334" s="50">
        <v>1490007.8</v>
      </c>
      <c r="K334" s="50">
        <v>1368647.51</v>
      </c>
      <c r="L334" s="51"/>
      <c r="M334" s="48" t="s">
        <v>1664</v>
      </c>
      <c r="N334" s="46" t="s">
        <v>298</v>
      </c>
      <c r="O334" s="46" t="s">
        <v>299</v>
      </c>
      <c r="P334" s="56">
        <v>3329028076</v>
      </c>
      <c r="Q334" s="53"/>
      <c r="R334" s="58" t="str">
        <f>HYPERLINK("https://drive.google.com/open?id=19wXgvxvOV7Xmaku30l_P0SLySNr4yZG-","Договор")</f>
        <v>Договор</v>
      </c>
      <c r="S334" s="46"/>
      <c r="T334" s="46"/>
      <c r="U334" s="54"/>
    </row>
    <row r="335" spans="1:21" ht="78.75">
      <c r="A335" s="55">
        <v>322</v>
      </c>
      <c r="B335" s="46" t="s">
        <v>20</v>
      </c>
      <c r="C335" s="46" t="s">
        <v>504</v>
      </c>
      <c r="D335" s="46" t="s">
        <v>21</v>
      </c>
      <c r="E335" s="118" t="s">
        <v>1665</v>
      </c>
      <c r="F335" s="39" t="s">
        <v>1656</v>
      </c>
      <c r="G335" s="48" t="s">
        <v>1666</v>
      </c>
      <c r="H335" s="90" t="s">
        <v>1667</v>
      </c>
      <c r="I335" s="48">
        <v>42885</v>
      </c>
      <c r="J335" s="50">
        <v>1576592.29</v>
      </c>
      <c r="K335" s="50">
        <v>1462904.62</v>
      </c>
      <c r="L335" s="51"/>
      <c r="M335" s="48" t="s">
        <v>1668</v>
      </c>
      <c r="N335" s="46" t="s">
        <v>298</v>
      </c>
      <c r="O335" s="46" t="s">
        <v>299</v>
      </c>
      <c r="P335" s="56">
        <v>3329028076</v>
      </c>
      <c r="Q335" s="53"/>
      <c r="R335" s="58" t="str">
        <f>HYPERLINK("https://drive.google.com/open?id=1rhLLnTkTtpBeIltOW1eBYCz-_RBp1Kmk","Договор")</f>
        <v>Договор</v>
      </c>
      <c r="S335" s="46"/>
      <c r="T335" s="46"/>
      <c r="U335" s="54"/>
    </row>
    <row r="336" spans="1:21" ht="78.75">
      <c r="A336" s="55">
        <v>323</v>
      </c>
      <c r="B336" s="46" t="s">
        <v>20</v>
      </c>
      <c r="C336" s="46" t="s">
        <v>504</v>
      </c>
      <c r="D336" s="46" t="s">
        <v>21</v>
      </c>
      <c r="E336" s="118" t="s">
        <v>1669</v>
      </c>
      <c r="F336" s="39" t="s">
        <v>1661</v>
      </c>
      <c r="G336" s="48" t="s">
        <v>1670</v>
      </c>
      <c r="H336" s="90" t="s">
        <v>1671</v>
      </c>
      <c r="I336" s="48">
        <v>42885</v>
      </c>
      <c r="J336" s="50">
        <v>1725151.2</v>
      </c>
      <c r="K336" s="50">
        <v>1520148.75</v>
      </c>
      <c r="L336" s="51"/>
      <c r="M336" s="48" t="s">
        <v>1672</v>
      </c>
      <c r="N336" s="46" t="s">
        <v>298</v>
      </c>
      <c r="O336" s="46" t="s">
        <v>299</v>
      </c>
      <c r="P336" s="56">
        <v>3329028076</v>
      </c>
      <c r="Q336" s="53"/>
      <c r="R336" s="58" t="str">
        <f>HYPERLINK("https://drive.google.com/open?id=1Ryb5Bm-3ooDJqK4303F-yz0LW_hmNWjL","Договор")</f>
        <v>Договор</v>
      </c>
      <c r="S336" s="46"/>
      <c r="T336" s="46"/>
      <c r="U336" s="54"/>
    </row>
    <row r="337" spans="1:21" ht="78.75">
      <c r="A337" s="55">
        <v>324</v>
      </c>
      <c r="B337" s="46" t="s">
        <v>20</v>
      </c>
      <c r="C337" s="46" t="s">
        <v>504</v>
      </c>
      <c r="D337" s="46" t="s">
        <v>21</v>
      </c>
      <c r="E337" s="118" t="s">
        <v>1673</v>
      </c>
      <c r="F337" s="39" t="s">
        <v>1661</v>
      </c>
      <c r="G337" s="48" t="s">
        <v>1674</v>
      </c>
      <c r="H337" s="90" t="s">
        <v>1675</v>
      </c>
      <c r="I337" s="48">
        <v>42885</v>
      </c>
      <c r="J337" s="50">
        <v>5226641.2</v>
      </c>
      <c r="K337" s="50">
        <v>4641827.5599999996</v>
      </c>
      <c r="L337" s="51"/>
      <c r="M337" s="48" t="s">
        <v>1676</v>
      </c>
      <c r="N337" s="46" t="s">
        <v>298</v>
      </c>
      <c r="O337" s="46" t="s">
        <v>299</v>
      </c>
      <c r="P337" s="56">
        <v>3329028076</v>
      </c>
      <c r="Q337" s="53"/>
      <c r="R337" s="58" t="str">
        <f>HYPERLINK("https://drive.google.com/open?id=1vmelXBuf_Xpa-n6anY3SMJty1sHGyjVT","Договор")</f>
        <v>Договор</v>
      </c>
      <c r="S337" s="46"/>
      <c r="T337" s="46"/>
      <c r="U337" s="54"/>
    </row>
    <row r="338" spans="1:21" ht="78.75">
      <c r="A338" s="46">
        <v>325</v>
      </c>
      <c r="B338" s="46" t="s">
        <v>20</v>
      </c>
      <c r="C338" s="46" t="s">
        <v>504</v>
      </c>
      <c r="D338" s="46" t="s">
        <v>21</v>
      </c>
      <c r="E338" s="118" t="s">
        <v>1677</v>
      </c>
      <c r="F338" s="39" t="s">
        <v>1656</v>
      </c>
      <c r="G338" s="48" t="s">
        <v>1678</v>
      </c>
      <c r="H338" s="90" t="s">
        <v>1679</v>
      </c>
      <c r="I338" s="79">
        <v>42793</v>
      </c>
      <c r="J338" s="50">
        <v>1914760.43</v>
      </c>
      <c r="K338" s="97">
        <v>1771940.74</v>
      </c>
      <c r="L338" s="51"/>
      <c r="M338" s="46" t="s">
        <v>1680</v>
      </c>
      <c r="N338" s="48" t="s">
        <v>513</v>
      </c>
      <c r="O338" s="92" t="s">
        <v>801</v>
      </c>
      <c r="P338" s="52">
        <v>3308004490</v>
      </c>
      <c r="Q338" s="46"/>
      <c r="R338" s="58" t="str">
        <f>HYPERLINK("https://drive.google.com/open?id=1skDXNiT5s0l60N5RZTWJy-jJfQ4HBnHE","Договор")</f>
        <v>Договор</v>
      </c>
      <c r="S338" s="22" t="str">
        <f>HYPERLINK("https://drive.google.com/open?id=1KfimdxRRDpo-s0VLeVYXiNUaRoon8KtR","Документы")</f>
        <v>Документы</v>
      </c>
      <c r="T338" s="46"/>
      <c r="U338" s="47"/>
    </row>
    <row r="339" spans="1:21" ht="78.75">
      <c r="A339" s="55">
        <v>326</v>
      </c>
      <c r="B339" s="53" t="s">
        <v>20</v>
      </c>
      <c r="C339" s="46" t="s">
        <v>504</v>
      </c>
      <c r="D339" s="60" t="s">
        <v>21</v>
      </c>
      <c r="E339" s="118" t="s">
        <v>1681</v>
      </c>
      <c r="F339" s="39" t="s">
        <v>1661</v>
      </c>
      <c r="G339" s="48" t="s">
        <v>1682</v>
      </c>
      <c r="H339" s="61" t="s">
        <v>1683</v>
      </c>
      <c r="I339" s="86">
        <v>42793</v>
      </c>
      <c r="J339" s="50">
        <v>1321792.55</v>
      </c>
      <c r="K339" s="50">
        <v>1214641.7</v>
      </c>
      <c r="L339" s="85"/>
      <c r="M339" s="87" t="s">
        <v>1684</v>
      </c>
      <c r="N339" s="53" t="s">
        <v>641</v>
      </c>
      <c r="O339" s="53" t="s">
        <v>642</v>
      </c>
      <c r="P339" s="55">
        <v>3304018728</v>
      </c>
      <c r="Q339" s="53"/>
      <c r="R339" s="58" t="str">
        <f>HYPERLINK("https://drive.google.com/open?id=1f87F-j4pI4Fa6L6uzIYaupI44iHwRykD","Договор")</f>
        <v>Договор</v>
      </c>
      <c r="S339" s="55"/>
      <c r="T339" s="55"/>
      <c r="U339" s="55"/>
    </row>
    <row r="340" spans="1:21" ht="78.75">
      <c r="A340" s="55">
        <v>327</v>
      </c>
      <c r="B340" s="53" t="s">
        <v>20</v>
      </c>
      <c r="C340" s="46" t="s">
        <v>504</v>
      </c>
      <c r="D340" s="60" t="s">
        <v>21</v>
      </c>
      <c r="E340" s="118" t="s">
        <v>1685</v>
      </c>
      <c r="F340" s="39" t="s">
        <v>1661</v>
      </c>
      <c r="G340" s="48" t="s">
        <v>1686</v>
      </c>
      <c r="H340" s="61" t="s">
        <v>1687</v>
      </c>
      <c r="I340" s="86">
        <v>42793</v>
      </c>
      <c r="J340" s="50">
        <v>1617163.45</v>
      </c>
      <c r="K340" s="50">
        <v>1469520.52</v>
      </c>
      <c r="L340" s="85"/>
      <c r="M340" s="87" t="s">
        <v>1688</v>
      </c>
      <c r="N340" s="53" t="s">
        <v>641</v>
      </c>
      <c r="O340" s="53" t="s">
        <v>642</v>
      </c>
      <c r="P340" s="55">
        <v>3304018728</v>
      </c>
      <c r="Q340" s="53"/>
      <c r="R340" s="58" t="str">
        <f>HYPERLINK("https://drive.google.com/open?id=168A3-uswJm_sbOJQPVPka98xnvlepxJF","Договор")</f>
        <v>Договор</v>
      </c>
      <c r="S340" s="55"/>
      <c r="T340" s="55"/>
      <c r="U340" s="55"/>
    </row>
    <row r="341" spans="1:21" ht="78.75">
      <c r="A341" s="46">
        <v>328</v>
      </c>
      <c r="B341" s="46" t="s">
        <v>20</v>
      </c>
      <c r="C341" s="46" t="s">
        <v>504</v>
      </c>
      <c r="D341" s="60" t="s">
        <v>21</v>
      </c>
      <c r="E341" s="118" t="s">
        <v>1689</v>
      </c>
      <c r="F341" s="39" t="s">
        <v>1661</v>
      </c>
      <c r="G341" s="48" t="s">
        <v>1690</v>
      </c>
      <c r="H341" s="61" t="s">
        <v>1691</v>
      </c>
      <c r="I341" s="48">
        <v>42671</v>
      </c>
      <c r="J341" s="50">
        <v>1482455</v>
      </c>
      <c r="K341" s="50">
        <v>1482455</v>
      </c>
      <c r="L341" s="51">
        <v>0</v>
      </c>
      <c r="M341" s="48" t="s">
        <v>1692</v>
      </c>
      <c r="N341" s="48" t="s">
        <v>53</v>
      </c>
      <c r="O341" s="46" t="s">
        <v>54</v>
      </c>
      <c r="P341" s="52">
        <v>3329058867</v>
      </c>
      <c r="Q341" s="53"/>
      <c r="R341" s="58" t="str">
        <f>HYPERLINK("https://drive.google.com/open?id=1YWeacKLq3XyeXGPbmkSWuUhx3unKeSOE","Договор")</f>
        <v>Договор</v>
      </c>
      <c r="S341" s="54"/>
      <c r="T341" s="54"/>
      <c r="U341" s="54"/>
    </row>
    <row r="342" spans="1:21" ht="78.75">
      <c r="A342" s="46">
        <v>329</v>
      </c>
      <c r="B342" s="46" t="s">
        <v>20</v>
      </c>
      <c r="C342" s="46" t="s">
        <v>504</v>
      </c>
      <c r="D342" s="60" t="s">
        <v>21</v>
      </c>
      <c r="E342" s="118" t="s">
        <v>1693</v>
      </c>
      <c r="F342" s="39" t="s">
        <v>1661</v>
      </c>
      <c r="G342" s="48" t="s">
        <v>1694</v>
      </c>
      <c r="H342" s="61" t="s">
        <v>1695</v>
      </c>
      <c r="I342" s="48"/>
      <c r="J342" s="50">
        <v>3042168.58</v>
      </c>
      <c r="K342" s="50">
        <v>2783254.43</v>
      </c>
      <c r="L342" s="51">
        <v>0</v>
      </c>
      <c r="M342" s="48" t="s">
        <v>1696</v>
      </c>
      <c r="N342" s="48" t="s">
        <v>1697</v>
      </c>
      <c r="O342" s="46" t="s">
        <v>1698</v>
      </c>
      <c r="P342" s="52">
        <v>3311011385</v>
      </c>
      <c r="Q342" s="53"/>
      <c r="R342" s="58" t="str">
        <f>HYPERLINK("https://drive.google.com/open?id=1Bq0mVAg5VoIH0PU-dSoPCJSY-u9_pOrF","Договор")</f>
        <v>Договор</v>
      </c>
      <c r="S342" s="54"/>
      <c r="T342" s="54"/>
      <c r="U342" s="54"/>
    </row>
    <row r="343" spans="1:21" ht="78.75">
      <c r="A343" s="46">
        <v>330</v>
      </c>
      <c r="B343" s="46" t="s">
        <v>20</v>
      </c>
      <c r="C343" s="46" t="s">
        <v>504</v>
      </c>
      <c r="D343" s="46" t="s">
        <v>21</v>
      </c>
      <c r="E343" s="118" t="s">
        <v>1699</v>
      </c>
      <c r="F343" s="39" t="s">
        <v>1661</v>
      </c>
      <c r="G343" s="48" t="s">
        <v>1700</v>
      </c>
      <c r="H343" s="49" t="s">
        <v>1701</v>
      </c>
      <c r="I343" s="48">
        <v>42793</v>
      </c>
      <c r="J343" s="50">
        <v>1119474.57</v>
      </c>
      <c r="K343" s="50">
        <v>1026263.98</v>
      </c>
      <c r="L343" s="51"/>
      <c r="M343" s="48" t="s">
        <v>1702</v>
      </c>
      <c r="N343" s="48" t="s">
        <v>120</v>
      </c>
      <c r="O343" s="46" t="s">
        <v>121</v>
      </c>
      <c r="P343" s="52">
        <v>3305713379</v>
      </c>
      <c r="Q343" s="53" t="s">
        <v>1402</v>
      </c>
      <c r="R343" s="58" t="str">
        <f>HYPERLINK("https://drive.google.com/open?id=1a0_ekUEflANbROAh8igrQezcpEUHiSRu","Договор")</f>
        <v>Договор</v>
      </c>
      <c r="S343" s="54"/>
      <c r="T343" s="54"/>
      <c r="U343" s="54"/>
    </row>
    <row r="344" spans="1:21" ht="78.75">
      <c r="A344" s="46">
        <v>331</v>
      </c>
      <c r="B344" s="46" t="s">
        <v>20</v>
      </c>
      <c r="C344" s="46" t="s">
        <v>504</v>
      </c>
      <c r="D344" s="46" t="s">
        <v>21</v>
      </c>
      <c r="E344" s="118" t="s">
        <v>1703</v>
      </c>
      <c r="F344" s="39" t="s">
        <v>1661</v>
      </c>
      <c r="G344" s="48" t="s">
        <v>1704</v>
      </c>
      <c r="H344" s="49" t="s">
        <v>1705</v>
      </c>
      <c r="I344" s="48">
        <v>42793</v>
      </c>
      <c r="J344" s="50">
        <v>2410754.14</v>
      </c>
      <c r="K344" s="50">
        <v>2219693.3199999998</v>
      </c>
      <c r="L344" s="51"/>
      <c r="M344" s="48" t="s">
        <v>1706</v>
      </c>
      <c r="N344" s="48" t="s">
        <v>120</v>
      </c>
      <c r="O344" s="46" t="s">
        <v>121</v>
      </c>
      <c r="P344" s="52">
        <v>3305713379</v>
      </c>
      <c r="Q344" s="53" t="s">
        <v>1402</v>
      </c>
      <c r="R344" s="58" t="str">
        <f>HYPERLINK("https://drive.google.com/open?id=163W2AckSsqktWkO3zOjiBfan3Wxbgdqa","Договор")</f>
        <v>Договор</v>
      </c>
      <c r="S344" s="54"/>
      <c r="T344" s="54"/>
      <c r="U344" s="54"/>
    </row>
    <row r="345" spans="1:21" ht="78.75">
      <c r="A345" s="46">
        <v>332</v>
      </c>
      <c r="B345" s="46" t="s">
        <v>20</v>
      </c>
      <c r="C345" s="46" t="s">
        <v>504</v>
      </c>
      <c r="D345" s="46" t="s">
        <v>21</v>
      </c>
      <c r="E345" s="118" t="s">
        <v>1707</v>
      </c>
      <c r="F345" s="39" t="s">
        <v>1661</v>
      </c>
      <c r="G345" s="48" t="s">
        <v>1708</v>
      </c>
      <c r="H345" s="49" t="s">
        <v>1709</v>
      </c>
      <c r="I345" s="48">
        <v>42793</v>
      </c>
      <c r="J345" s="50">
        <v>1611761.74</v>
      </c>
      <c r="K345" s="50">
        <v>1481286.26</v>
      </c>
      <c r="L345" s="51"/>
      <c r="M345" s="48" t="s">
        <v>1710</v>
      </c>
      <c r="N345" s="48" t="s">
        <v>120</v>
      </c>
      <c r="O345" s="46" t="s">
        <v>121</v>
      </c>
      <c r="P345" s="52">
        <v>3305713379</v>
      </c>
      <c r="Q345" s="53" t="s">
        <v>1402</v>
      </c>
      <c r="R345" s="58" t="str">
        <f>HYPERLINK("https://drive.google.com/open?id=12tzdALKbZQVLMk0WVWRRQgVy5NMykJH-","Договор")</f>
        <v>Договор</v>
      </c>
      <c r="S345" s="54"/>
      <c r="T345" s="54"/>
      <c r="U345" s="54"/>
    </row>
    <row r="346" spans="1:21" ht="78.75">
      <c r="A346" s="55">
        <v>333</v>
      </c>
      <c r="B346" s="53" t="s">
        <v>20</v>
      </c>
      <c r="C346" s="53" t="s">
        <v>504</v>
      </c>
      <c r="D346" s="70" t="s">
        <v>21</v>
      </c>
      <c r="E346" s="118" t="s">
        <v>1711</v>
      </c>
      <c r="F346" s="39" t="s">
        <v>1712</v>
      </c>
      <c r="G346" s="48" t="s">
        <v>1713</v>
      </c>
      <c r="H346" s="90" t="s">
        <v>1714</v>
      </c>
      <c r="I346" s="73">
        <v>42671</v>
      </c>
      <c r="J346" s="50">
        <v>2118434.5099999998</v>
      </c>
      <c r="K346" s="50">
        <v>1939087.16</v>
      </c>
      <c r="L346" s="85"/>
      <c r="M346" s="119" t="s">
        <v>1715</v>
      </c>
      <c r="N346" s="53" t="s">
        <v>31</v>
      </c>
      <c r="O346" s="53" t="s">
        <v>678</v>
      </c>
      <c r="P346" s="89">
        <v>3304016992</v>
      </c>
      <c r="Q346" s="53"/>
      <c r="R346" s="58" t="str">
        <f>HYPERLINK("https://drive.google.com/open?id=1OLSR4Dw79lcHHkWBNlRSiittg2S621MN","Договор")</f>
        <v>Договор</v>
      </c>
      <c r="S346" s="55"/>
      <c r="T346" s="55"/>
      <c r="U346" s="55"/>
    </row>
    <row r="347" spans="1:21" ht="78.75">
      <c r="A347" s="55">
        <v>334</v>
      </c>
      <c r="B347" s="53" t="s">
        <v>20</v>
      </c>
      <c r="C347" s="53" t="s">
        <v>504</v>
      </c>
      <c r="D347" s="70" t="s">
        <v>21</v>
      </c>
      <c r="E347" s="118" t="s">
        <v>1716</v>
      </c>
      <c r="F347" s="39" t="s">
        <v>1712</v>
      </c>
      <c r="G347" s="48" t="s">
        <v>1717</v>
      </c>
      <c r="H347" s="90" t="s">
        <v>1718</v>
      </c>
      <c r="I347" s="73">
        <v>42671</v>
      </c>
      <c r="J347" s="50">
        <v>2044494.7</v>
      </c>
      <c r="K347" s="50">
        <v>1874788.19</v>
      </c>
      <c r="L347" s="85"/>
      <c r="M347" s="119" t="s">
        <v>1719</v>
      </c>
      <c r="N347" s="53" t="s">
        <v>31</v>
      </c>
      <c r="O347" s="53" t="s">
        <v>678</v>
      </c>
      <c r="P347" s="89">
        <v>3304016992</v>
      </c>
      <c r="Q347" s="53"/>
      <c r="R347" s="58" t="str">
        <f>HYPERLINK("https://drive.google.com/open?id=19ji0pu1dqAQ5Iw6wZOrW47QwUUc9ZC98","Договор")</f>
        <v>Договор</v>
      </c>
      <c r="S347" s="55"/>
      <c r="T347" s="55"/>
      <c r="U347" s="55"/>
    </row>
    <row r="348" spans="1:21" ht="78.75">
      <c r="A348" s="55">
        <v>335</v>
      </c>
      <c r="B348" s="53" t="s">
        <v>20</v>
      </c>
      <c r="C348" s="53" t="s">
        <v>504</v>
      </c>
      <c r="D348" s="70" t="s">
        <v>21</v>
      </c>
      <c r="E348" s="118" t="s">
        <v>1720</v>
      </c>
      <c r="F348" s="39" t="s">
        <v>1721</v>
      </c>
      <c r="G348" s="48" t="s">
        <v>1722</v>
      </c>
      <c r="H348" s="90" t="s">
        <v>1723</v>
      </c>
      <c r="I348" s="73">
        <v>42671</v>
      </c>
      <c r="J348" s="50">
        <v>1393503.16</v>
      </c>
      <c r="K348" s="50">
        <v>1276884.24</v>
      </c>
      <c r="L348" s="85"/>
      <c r="M348" s="119" t="s">
        <v>1668</v>
      </c>
      <c r="N348" s="53" t="s">
        <v>31</v>
      </c>
      <c r="O348" s="53" t="s">
        <v>678</v>
      </c>
      <c r="P348" s="89">
        <v>3304016992</v>
      </c>
      <c r="Q348" s="53"/>
      <c r="R348" s="58" t="str">
        <f>HYPERLINK("https://drive.google.com/open?id=1JmBeJy-MG-zJNJXpBK5hFQXidLjXz3NC","Договор")</f>
        <v>Договор</v>
      </c>
      <c r="S348" s="22" t="str">
        <f>HYPERLINK("https://drive.google.com/open?id=1vSQOfDDAIPu-L-c_uuDBaWxQE27nFDMK","Документы")</f>
        <v>Документы</v>
      </c>
      <c r="T348" s="55"/>
      <c r="U348" s="55"/>
    </row>
    <row r="349" spans="1:21" ht="78.75">
      <c r="A349" s="55">
        <v>336</v>
      </c>
      <c r="B349" s="53" t="s">
        <v>20</v>
      </c>
      <c r="C349" s="53" t="s">
        <v>504</v>
      </c>
      <c r="D349" s="70" t="s">
        <v>21</v>
      </c>
      <c r="E349" s="118" t="s">
        <v>1724</v>
      </c>
      <c r="F349" s="39" t="s">
        <v>1725</v>
      </c>
      <c r="G349" s="48" t="s">
        <v>1726</v>
      </c>
      <c r="H349" s="90" t="s">
        <v>1727</v>
      </c>
      <c r="I349" s="73">
        <v>42671</v>
      </c>
      <c r="J349" s="50">
        <v>1730223.96</v>
      </c>
      <c r="K349" s="50">
        <v>1597435.95</v>
      </c>
      <c r="L349" s="85"/>
      <c r="M349" s="119" t="s">
        <v>1728</v>
      </c>
      <c r="N349" s="53" t="s">
        <v>31</v>
      </c>
      <c r="O349" s="53" t="s">
        <v>678</v>
      </c>
      <c r="P349" s="89">
        <v>3304016992</v>
      </c>
      <c r="Q349" s="53"/>
      <c r="R349" s="58" t="str">
        <f>HYPERLINK("https://drive.google.com/open?id=1Y8z0T66iZptv4XfEZfpNaAxr0LxdlGox","Договор")</f>
        <v>Договор</v>
      </c>
      <c r="S349" s="55"/>
      <c r="T349" s="55"/>
      <c r="U349" s="55"/>
    </row>
    <row r="350" spans="1:21" ht="141.75">
      <c r="A350" s="46">
        <v>337</v>
      </c>
      <c r="B350" s="46" t="s">
        <v>20</v>
      </c>
      <c r="C350" s="46" t="s">
        <v>504</v>
      </c>
      <c r="D350" s="46" t="s">
        <v>21</v>
      </c>
      <c r="E350" s="118" t="s">
        <v>1729</v>
      </c>
      <c r="F350" s="39" t="s">
        <v>1656</v>
      </c>
      <c r="G350" s="48" t="s">
        <v>1730</v>
      </c>
      <c r="H350" s="48" t="s">
        <v>1731</v>
      </c>
      <c r="I350" s="48">
        <v>43090</v>
      </c>
      <c r="J350" s="50">
        <v>10213282</v>
      </c>
      <c r="K350" s="50">
        <v>10213282</v>
      </c>
      <c r="L350" s="51"/>
      <c r="M350" s="48" t="s">
        <v>1732</v>
      </c>
      <c r="N350" s="48" t="s">
        <v>1340</v>
      </c>
      <c r="O350" s="46" t="s">
        <v>1341</v>
      </c>
      <c r="P350" s="52">
        <v>3306014207</v>
      </c>
      <c r="Q350" s="53"/>
      <c r="R350" s="58" t="str">
        <f>HYPERLINK("https://drive.google.com/open?id=1s_GLOTpOfGg_5rz2C-NUjU7MLNxdX4Zr","Договор")</f>
        <v>Договор</v>
      </c>
      <c r="S350" s="54"/>
      <c r="T350" s="54"/>
      <c r="U350" s="54"/>
    </row>
    <row r="351" spans="1:21" ht="78.75">
      <c r="A351" s="55">
        <v>338</v>
      </c>
      <c r="B351" s="53" t="s">
        <v>20</v>
      </c>
      <c r="C351" s="46" t="s">
        <v>504</v>
      </c>
      <c r="D351" s="46" t="s">
        <v>21</v>
      </c>
      <c r="E351" s="118" t="s">
        <v>1733</v>
      </c>
      <c r="F351" s="39" t="s">
        <v>1656</v>
      </c>
      <c r="G351" s="120" t="s">
        <v>1734</v>
      </c>
      <c r="H351" s="90" t="s">
        <v>1735</v>
      </c>
      <c r="I351" s="86">
        <v>42671</v>
      </c>
      <c r="J351" s="50">
        <v>1575450.37</v>
      </c>
      <c r="K351" s="50">
        <v>1451544.11</v>
      </c>
      <c r="L351" s="85"/>
      <c r="M351" s="87" t="s">
        <v>1736</v>
      </c>
      <c r="N351" s="53" t="s">
        <v>647</v>
      </c>
      <c r="O351" s="53" t="s">
        <v>648</v>
      </c>
      <c r="P351" s="55">
        <v>3328442686</v>
      </c>
      <c r="Q351" s="53"/>
      <c r="R351" s="58" t="str">
        <f>HYPERLINK("https://drive.google.com/open?id=1LM1S9GLlAEIm6ljrZS9pFUUUbl-4X09e","Договор")</f>
        <v>Договор</v>
      </c>
      <c r="S351" s="22" t="str">
        <f>HYPERLINK("https://drive.google.com/open?id=114zm2uBXveKArBlGDYMV581pCLetY3te","Документы")</f>
        <v>Документы</v>
      </c>
      <c r="T351" s="55"/>
      <c r="U351" s="55"/>
    </row>
    <row r="352" spans="1:21" ht="78.75">
      <c r="A352" s="46">
        <v>339</v>
      </c>
      <c r="B352" s="46" t="s">
        <v>20</v>
      </c>
      <c r="C352" s="46" t="s">
        <v>504</v>
      </c>
      <c r="D352" s="46" t="s">
        <v>21</v>
      </c>
      <c r="E352" s="118" t="s">
        <v>1737</v>
      </c>
      <c r="F352" s="39" t="s">
        <v>1712</v>
      </c>
      <c r="G352" s="120" t="s">
        <v>1738</v>
      </c>
      <c r="H352" s="90" t="s">
        <v>1739</v>
      </c>
      <c r="I352" s="79">
        <v>42793</v>
      </c>
      <c r="J352" s="50">
        <v>2461162.04</v>
      </c>
      <c r="K352" s="50">
        <v>2267268.1</v>
      </c>
      <c r="L352" s="51"/>
      <c r="M352" s="48" t="s">
        <v>1740</v>
      </c>
      <c r="N352" s="48" t="s">
        <v>794</v>
      </c>
      <c r="O352" s="46" t="s">
        <v>795</v>
      </c>
      <c r="P352" s="52">
        <v>3304010990</v>
      </c>
      <c r="Q352" s="53"/>
      <c r="R352" s="58" t="str">
        <f>HYPERLINK("https://drive.google.com/open?id=1KCwiHf0PURjdpKc7OSbjhQMoYZDeZT9e","Договор")</f>
        <v>Договор</v>
      </c>
      <c r="S352" s="46"/>
      <c r="T352" s="46"/>
      <c r="U352" s="47"/>
    </row>
    <row r="353" spans="1:21" ht="78.75">
      <c r="A353" s="46">
        <v>340</v>
      </c>
      <c r="B353" s="46" t="s">
        <v>20</v>
      </c>
      <c r="C353" s="46" t="s">
        <v>22</v>
      </c>
      <c r="D353" s="60" t="s">
        <v>21</v>
      </c>
      <c r="E353" s="118" t="s">
        <v>1741</v>
      </c>
      <c r="F353" s="39" t="s">
        <v>1656</v>
      </c>
      <c r="G353" s="120" t="s">
        <v>1742</v>
      </c>
      <c r="H353" s="109" t="s">
        <v>1743</v>
      </c>
      <c r="I353" s="61">
        <v>42671</v>
      </c>
      <c r="J353" s="63">
        <v>9930531.9700000007</v>
      </c>
      <c r="K353" s="63">
        <v>8704414.7799999993</v>
      </c>
      <c r="L353" s="64"/>
      <c r="M353" s="61" t="s">
        <v>1744</v>
      </c>
      <c r="N353" s="61" t="s">
        <v>534</v>
      </c>
      <c r="O353" s="60" t="s">
        <v>535</v>
      </c>
      <c r="P353" s="65">
        <v>332701116371</v>
      </c>
      <c r="Q353" s="53"/>
      <c r="R353" s="58" t="str">
        <f>HYPERLINK("https://drive.google.com/open?id=1Erl042QsfJnpLqcveVPFTpgG18edAcUR","Договор")</f>
        <v>Договор</v>
      </c>
      <c r="S353" s="59"/>
      <c r="T353" s="59"/>
      <c r="U353" s="59"/>
    </row>
    <row r="354" spans="1:21" ht="78.75">
      <c r="A354" s="55">
        <v>341</v>
      </c>
      <c r="B354" s="53" t="s">
        <v>20</v>
      </c>
      <c r="C354" s="46" t="s">
        <v>504</v>
      </c>
      <c r="D354" s="46" t="s">
        <v>21</v>
      </c>
      <c r="E354" s="118" t="s">
        <v>1745</v>
      </c>
      <c r="F354" s="39" t="s">
        <v>1656</v>
      </c>
      <c r="G354" s="120" t="s">
        <v>1746</v>
      </c>
      <c r="H354" s="90" t="s">
        <v>1747</v>
      </c>
      <c r="I354" s="67">
        <v>42793</v>
      </c>
      <c r="J354" s="50">
        <v>2587094.9700000002</v>
      </c>
      <c r="K354" s="50">
        <v>2379051.15</v>
      </c>
      <c r="L354" s="51"/>
      <c r="M354" s="53" t="s">
        <v>1748</v>
      </c>
      <c r="N354" s="55" t="s">
        <v>125</v>
      </c>
      <c r="O354" s="53" t="s">
        <v>584</v>
      </c>
      <c r="P354" s="55"/>
      <c r="Q354" s="53"/>
      <c r="R354" s="58" t="str">
        <f>HYPERLINK("https://drive.google.com/open?id=1ikwzTr7WaFmOCtutpdDktuGGJZ0KhekS","Договор")</f>
        <v>Договор</v>
      </c>
      <c r="S354" s="55"/>
      <c r="T354" s="55"/>
      <c r="U354" s="55"/>
    </row>
    <row r="355" spans="1:21" ht="78.75">
      <c r="A355" s="55">
        <v>342</v>
      </c>
      <c r="B355" s="53" t="s">
        <v>20</v>
      </c>
      <c r="C355" s="46" t="s">
        <v>504</v>
      </c>
      <c r="D355" s="46" t="s">
        <v>21</v>
      </c>
      <c r="E355" s="118" t="s">
        <v>1749</v>
      </c>
      <c r="F355" s="39" t="s">
        <v>1656</v>
      </c>
      <c r="G355" s="120" t="s">
        <v>1750</v>
      </c>
      <c r="H355" s="90" t="s">
        <v>1751</v>
      </c>
      <c r="I355" s="67">
        <v>42793</v>
      </c>
      <c r="J355" s="50">
        <v>724460.03</v>
      </c>
      <c r="K355" s="50">
        <v>669439.22</v>
      </c>
      <c r="L355" s="51"/>
      <c r="M355" s="53" t="s">
        <v>1752</v>
      </c>
      <c r="N355" s="55" t="s">
        <v>125</v>
      </c>
      <c r="O355" s="53" t="s">
        <v>584</v>
      </c>
      <c r="P355" s="55"/>
      <c r="Q355" s="53"/>
      <c r="R355" s="58" t="str">
        <f>HYPERLINK("https://drive.google.com/open?id=1nmobDmpwu0czdKz8ooyYuth-9iTHDsa2","Договор")</f>
        <v>Договор</v>
      </c>
      <c r="S355" s="22" t="str">
        <f>HYPERLINK("https://drive.google.com/open?id=1WFUVE3BGnUln1BEOutHxzDgRu6KJtRVK","Документы")</f>
        <v>Документы</v>
      </c>
      <c r="T355" s="55"/>
      <c r="U355" s="55"/>
    </row>
    <row r="356" spans="1:21" ht="94.5">
      <c r="A356" s="46">
        <v>343</v>
      </c>
      <c r="B356" s="46" t="s">
        <v>20</v>
      </c>
      <c r="C356" s="46" t="s">
        <v>504</v>
      </c>
      <c r="D356" s="46" t="s">
        <v>21</v>
      </c>
      <c r="E356" s="118" t="s">
        <v>1753</v>
      </c>
      <c r="F356" s="39" t="s">
        <v>1656</v>
      </c>
      <c r="G356" s="120" t="s">
        <v>1754</v>
      </c>
      <c r="H356" s="90" t="s">
        <v>1755</v>
      </c>
      <c r="I356" s="48">
        <v>43208</v>
      </c>
      <c r="J356" s="50">
        <v>4334346.84</v>
      </c>
      <c r="K356" s="50">
        <v>4334346.84</v>
      </c>
      <c r="L356" s="51"/>
      <c r="M356" s="48" t="s">
        <v>1756</v>
      </c>
      <c r="N356" s="48" t="s">
        <v>1517</v>
      </c>
      <c r="O356" s="46" t="s">
        <v>1518</v>
      </c>
      <c r="P356" s="52">
        <v>6230053015</v>
      </c>
      <c r="Q356" s="53" t="s">
        <v>1496</v>
      </c>
      <c r="R356" s="58" t="str">
        <f>HYPERLINK("https://drive.google.com/open?id=1qlDWPilO0Mf9JhJfiG6o8O0irWM6A3eS","Договор")</f>
        <v>Договор</v>
      </c>
      <c r="S356" s="54"/>
      <c r="T356" s="54"/>
      <c r="U356" s="54"/>
    </row>
    <row r="357" spans="1:21" ht="78.75">
      <c r="A357" s="55">
        <v>344</v>
      </c>
      <c r="B357" s="53" t="s">
        <v>20</v>
      </c>
      <c r="C357" s="46" t="s">
        <v>504</v>
      </c>
      <c r="D357" s="46" t="s">
        <v>21</v>
      </c>
      <c r="E357" s="118" t="s">
        <v>1753</v>
      </c>
      <c r="F357" s="39" t="s">
        <v>1656</v>
      </c>
      <c r="G357" s="120" t="s">
        <v>1757</v>
      </c>
      <c r="H357" s="90" t="s">
        <v>1758</v>
      </c>
      <c r="I357" s="86">
        <v>42885</v>
      </c>
      <c r="J357" s="50">
        <v>2292791.38</v>
      </c>
      <c r="K357" s="50">
        <v>2106478.14</v>
      </c>
      <c r="L357" s="85"/>
      <c r="M357" s="87" t="s">
        <v>1759</v>
      </c>
      <c r="N357" s="53" t="s">
        <v>624</v>
      </c>
      <c r="O357" s="53" t="s">
        <v>625</v>
      </c>
      <c r="P357" s="55">
        <v>3328457763</v>
      </c>
      <c r="Q357" s="53"/>
      <c r="R357" s="58" t="str">
        <f>HYPERLINK("https://drive.google.com/open?id=1_qQYKsHtCvLUMfGTGPGKTFGdOheAiNu0","Договор")</f>
        <v>Договор</v>
      </c>
      <c r="S357" s="55"/>
      <c r="T357" s="55"/>
      <c r="U357" s="55"/>
    </row>
    <row r="358" spans="1:21" ht="78.75">
      <c r="A358" s="55">
        <v>345</v>
      </c>
      <c r="B358" s="53" t="s">
        <v>20</v>
      </c>
      <c r="C358" s="46" t="s">
        <v>504</v>
      </c>
      <c r="D358" s="46" t="s">
        <v>21</v>
      </c>
      <c r="E358" s="118" t="s">
        <v>1760</v>
      </c>
      <c r="F358" s="39" t="s">
        <v>1725</v>
      </c>
      <c r="G358" s="120" t="s">
        <v>1761</v>
      </c>
      <c r="H358" s="90" t="s">
        <v>1762</v>
      </c>
      <c r="I358" s="86">
        <v>42885</v>
      </c>
      <c r="J358" s="50">
        <v>2743655.09</v>
      </c>
      <c r="K358" s="50">
        <v>2523547.9500000002</v>
      </c>
      <c r="L358" s="85"/>
      <c r="M358" s="87" t="s">
        <v>1763</v>
      </c>
      <c r="N358" s="53" t="s">
        <v>624</v>
      </c>
      <c r="O358" s="53" t="s">
        <v>625</v>
      </c>
      <c r="P358" s="55">
        <v>3328457763</v>
      </c>
      <c r="Q358" s="53"/>
      <c r="R358" s="58" t="str">
        <f>HYPERLINK("https://drive.google.com/open?id=1sYxvDesoiJbBH2H7RoShV7DTNUqubo7A","Договор")</f>
        <v>Договор</v>
      </c>
      <c r="S358" s="55"/>
      <c r="T358" s="55"/>
      <c r="U358" s="55"/>
    </row>
    <row r="359" spans="1:21" ht="94.5">
      <c r="A359" s="46">
        <v>346</v>
      </c>
      <c r="B359" s="46" t="s">
        <v>20</v>
      </c>
      <c r="C359" s="46" t="s">
        <v>504</v>
      </c>
      <c r="D359" s="46" t="s">
        <v>21</v>
      </c>
      <c r="E359" s="118" t="s">
        <v>1764</v>
      </c>
      <c r="F359" s="39" t="s">
        <v>1656</v>
      </c>
      <c r="G359" s="120" t="s">
        <v>1765</v>
      </c>
      <c r="H359" s="90" t="s">
        <v>1766</v>
      </c>
      <c r="I359" s="48">
        <v>42885</v>
      </c>
      <c r="J359" s="50">
        <v>2035115.44</v>
      </c>
      <c r="K359" s="50">
        <v>1873424.78</v>
      </c>
      <c r="L359" s="51"/>
      <c r="M359" s="48" t="s">
        <v>1767</v>
      </c>
      <c r="N359" s="48" t="s">
        <v>161</v>
      </c>
      <c r="O359" s="46" t="s">
        <v>162</v>
      </c>
      <c r="P359" s="52">
        <v>3322011926</v>
      </c>
      <c r="Q359" s="53"/>
      <c r="R359" s="58" t="str">
        <f>HYPERLINK("https://drive.google.com/open?id=13nqfxudNaJ1YNfDr4cj-Cz4F30xG7sLz","Договор")</f>
        <v>Договор</v>
      </c>
      <c r="S359" s="54"/>
      <c r="T359" s="54"/>
      <c r="U359" s="54"/>
    </row>
    <row r="360" spans="1:21" ht="94.5">
      <c r="A360" s="46">
        <v>347</v>
      </c>
      <c r="B360" s="46" t="s">
        <v>20</v>
      </c>
      <c r="C360" s="46" t="s">
        <v>504</v>
      </c>
      <c r="D360" s="46" t="s">
        <v>21</v>
      </c>
      <c r="E360" s="118" t="s">
        <v>1768</v>
      </c>
      <c r="F360" s="39" t="s">
        <v>1656</v>
      </c>
      <c r="G360" s="120" t="s">
        <v>1769</v>
      </c>
      <c r="H360" s="90" t="s">
        <v>1770</v>
      </c>
      <c r="I360" s="48">
        <v>42885</v>
      </c>
      <c r="J360" s="50">
        <v>1812425.41</v>
      </c>
      <c r="K360" s="50">
        <v>1665042.9</v>
      </c>
      <c r="L360" s="51"/>
      <c r="M360" s="48" t="s">
        <v>1771</v>
      </c>
      <c r="N360" s="48" t="s">
        <v>161</v>
      </c>
      <c r="O360" s="46" t="s">
        <v>162</v>
      </c>
      <c r="P360" s="52">
        <v>3322011926</v>
      </c>
      <c r="Q360" s="53"/>
      <c r="R360" s="58" t="str">
        <f>HYPERLINK("https://drive.google.com/open?id=1_bUGdZuNPQ0S35FyJitN__b2VXOrrGHk","Договор")</f>
        <v>Договор</v>
      </c>
      <c r="S360" s="54"/>
      <c r="T360" s="54"/>
      <c r="U360" s="54"/>
    </row>
    <row r="361" spans="1:21" ht="94.5">
      <c r="A361" s="46">
        <v>348</v>
      </c>
      <c r="B361" s="46" t="s">
        <v>20</v>
      </c>
      <c r="C361" s="46" t="s">
        <v>504</v>
      </c>
      <c r="D361" s="46" t="s">
        <v>21</v>
      </c>
      <c r="E361" s="118" t="s">
        <v>1772</v>
      </c>
      <c r="F361" s="39" t="s">
        <v>1656</v>
      </c>
      <c r="G361" s="120" t="s">
        <v>1773</v>
      </c>
      <c r="H361" s="90" t="s">
        <v>1774</v>
      </c>
      <c r="I361" s="48">
        <v>42885</v>
      </c>
      <c r="J361" s="50">
        <v>1585583.17</v>
      </c>
      <c r="K361" s="50">
        <v>1453094.25</v>
      </c>
      <c r="L361" s="98"/>
      <c r="M361" s="48" t="s">
        <v>1775</v>
      </c>
      <c r="N361" s="48" t="s">
        <v>272</v>
      </c>
      <c r="O361" s="46" t="s">
        <v>273</v>
      </c>
      <c r="P361" s="52">
        <v>3304015533</v>
      </c>
      <c r="Q361" s="53"/>
      <c r="R361" s="58" t="str">
        <f>HYPERLINK("https://drive.google.com/open?id=1NuY0NszmueHnOLeXTdRUxZcF4WAyO-6L","Договор")</f>
        <v>Договор</v>
      </c>
      <c r="S361" s="54"/>
      <c r="T361" s="54"/>
      <c r="U361" s="54"/>
    </row>
    <row r="362" spans="1:21" ht="94.5">
      <c r="A362" s="46">
        <v>349</v>
      </c>
      <c r="B362" s="46" t="s">
        <v>20</v>
      </c>
      <c r="C362" s="46" t="s">
        <v>504</v>
      </c>
      <c r="D362" s="46" t="s">
        <v>21</v>
      </c>
      <c r="E362" s="118" t="s">
        <v>1776</v>
      </c>
      <c r="F362" s="39" t="s">
        <v>1656</v>
      </c>
      <c r="G362" s="120" t="s">
        <v>1777</v>
      </c>
      <c r="H362" s="90" t="s">
        <v>1778</v>
      </c>
      <c r="I362" s="48">
        <v>42885</v>
      </c>
      <c r="J362" s="50">
        <v>2208916.23</v>
      </c>
      <c r="K362" s="50">
        <v>2027170.19</v>
      </c>
      <c r="L362" s="98"/>
      <c r="M362" s="48" t="s">
        <v>1779</v>
      </c>
      <c r="N362" s="48" t="s">
        <v>272</v>
      </c>
      <c r="O362" s="46" t="s">
        <v>273</v>
      </c>
      <c r="P362" s="52">
        <v>3304015533</v>
      </c>
      <c r="Q362" s="53"/>
      <c r="R362" s="58" t="str">
        <f>HYPERLINK("https://drive.google.com/open?id=1qVDBA4o_AqI7vYbm1xAjSHkvAJcMldx5","Договор")</f>
        <v>Договор</v>
      </c>
      <c r="S362" s="54"/>
      <c r="T362" s="54"/>
      <c r="U362" s="54"/>
    </row>
    <row r="363" spans="1:21" ht="78.75">
      <c r="A363" s="46">
        <v>350</v>
      </c>
      <c r="B363" s="46" t="s">
        <v>20</v>
      </c>
      <c r="C363" s="46" t="s">
        <v>504</v>
      </c>
      <c r="D363" s="46" t="s">
        <v>21</v>
      </c>
      <c r="E363" s="118" t="s">
        <v>1780</v>
      </c>
      <c r="F363" s="39" t="s">
        <v>1725</v>
      </c>
      <c r="G363" s="120" t="s">
        <v>1781</v>
      </c>
      <c r="H363" s="90" t="s">
        <v>1782</v>
      </c>
      <c r="I363" s="79">
        <v>42793</v>
      </c>
      <c r="J363" s="50">
        <v>1203086.8899999999</v>
      </c>
      <c r="K363" s="50">
        <v>1108813.1200000001</v>
      </c>
      <c r="L363" s="51"/>
      <c r="M363" s="48" t="s">
        <v>1783</v>
      </c>
      <c r="N363" s="48" t="s">
        <v>794</v>
      </c>
      <c r="O363" s="46" t="s">
        <v>795</v>
      </c>
      <c r="P363" s="52">
        <v>3304010990</v>
      </c>
      <c r="Q363" s="53"/>
      <c r="R363" s="58" t="str">
        <f>HYPERLINK("https://drive.google.com/open?id=1CF-H3e_ncRX9jLQeOfBk-ezUwfi9QAE0","Договор")</f>
        <v>Договор</v>
      </c>
      <c r="S363" s="46"/>
      <c r="T363" s="46"/>
      <c r="U363" s="47"/>
    </row>
    <row r="364" spans="1:21" ht="78.75">
      <c r="A364" s="46">
        <v>351</v>
      </c>
      <c r="B364" s="46" t="s">
        <v>20</v>
      </c>
      <c r="C364" s="46" t="s">
        <v>504</v>
      </c>
      <c r="D364" s="46" t="s">
        <v>21</v>
      </c>
      <c r="E364" s="118" t="s">
        <v>1784</v>
      </c>
      <c r="F364" s="39" t="s">
        <v>1785</v>
      </c>
      <c r="G364" s="120" t="s">
        <v>1786</v>
      </c>
      <c r="H364" s="90" t="s">
        <v>1787</v>
      </c>
      <c r="I364" s="79">
        <v>42793</v>
      </c>
      <c r="J364" s="50">
        <v>2015688.77</v>
      </c>
      <c r="K364" s="97">
        <v>1853348.83</v>
      </c>
      <c r="L364" s="51"/>
      <c r="M364" s="46" t="s">
        <v>1788</v>
      </c>
      <c r="N364" s="48" t="s">
        <v>513</v>
      </c>
      <c r="O364" s="92" t="s">
        <v>801</v>
      </c>
      <c r="P364" s="52">
        <v>3308004490</v>
      </c>
      <c r="Q364" s="46"/>
      <c r="R364" s="58" t="str">
        <f>HYPERLINK("https://drive.google.com/open?id=1T497v_cHU-H4IZWzY36RcXaKQRdILI41","Договор")</f>
        <v>Договор</v>
      </c>
      <c r="S364" s="46"/>
      <c r="T364" s="46"/>
      <c r="U364" s="47"/>
    </row>
    <row r="365" spans="1:21" ht="78.75">
      <c r="A365" s="46">
        <v>352</v>
      </c>
      <c r="B365" s="46" t="s">
        <v>20</v>
      </c>
      <c r="C365" s="46" t="s">
        <v>504</v>
      </c>
      <c r="D365" s="46" t="s">
        <v>21</v>
      </c>
      <c r="E365" s="118" t="s">
        <v>1789</v>
      </c>
      <c r="F365" s="39" t="s">
        <v>1785</v>
      </c>
      <c r="G365" s="120" t="s">
        <v>1790</v>
      </c>
      <c r="H365" s="90" t="s">
        <v>1791</v>
      </c>
      <c r="I365" s="79">
        <v>42793</v>
      </c>
      <c r="J365" s="50">
        <v>1679074.46</v>
      </c>
      <c r="K365" s="97">
        <v>1564309.31</v>
      </c>
      <c r="L365" s="51"/>
      <c r="M365" s="46" t="s">
        <v>1792</v>
      </c>
      <c r="N365" s="48" t="s">
        <v>513</v>
      </c>
      <c r="O365" s="92" t="s">
        <v>801</v>
      </c>
      <c r="P365" s="52">
        <v>3308004490</v>
      </c>
      <c r="Q365" s="46"/>
      <c r="R365" s="58" t="str">
        <f>HYPERLINK("https://drive.google.com/open?id=1FFKfJBQa7OyFm3bkBx8jr-RFb1zTTqKR","Договор")</f>
        <v>Договор</v>
      </c>
      <c r="S365" s="46"/>
      <c r="T365" s="46"/>
      <c r="U365" s="47"/>
    </row>
    <row r="366" spans="1:21" ht="78.75">
      <c r="A366" s="46">
        <v>353</v>
      </c>
      <c r="B366" s="46" t="s">
        <v>20</v>
      </c>
      <c r="C366" s="46" t="s">
        <v>504</v>
      </c>
      <c r="D366" s="46" t="s">
        <v>21</v>
      </c>
      <c r="E366" s="118" t="s">
        <v>1793</v>
      </c>
      <c r="F366" s="39" t="s">
        <v>1785</v>
      </c>
      <c r="G366" s="120" t="s">
        <v>1794</v>
      </c>
      <c r="H366" s="90" t="s">
        <v>1795</v>
      </c>
      <c r="I366" s="79">
        <v>42793</v>
      </c>
      <c r="J366" s="50">
        <v>1914055.49</v>
      </c>
      <c r="K366" s="97">
        <v>1757511.7</v>
      </c>
      <c r="L366" s="51"/>
      <c r="M366" s="46" t="s">
        <v>1788</v>
      </c>
      <c r="N366" s="48" t="s">
        <v>513</v>
      </c>
      <c r="O366" s="92" t="s">
        <v>801</v>
      </c>
      <c r="P366" s="52">
        <v>3308004490</v>
      </c>
      <c r="Q366" s="46"/>
      <c r="R366" s="58" t="str">
        <f>HYPERLINK("https://drive.google.com/open?id=18Z2LhG6cC9avI8e0fqbQmaSGxDS6AO5v","Договор")</f>
        <v>Договор</v>
      </c>
      <c r="S366" s="46"/>
      <c r="T366" s="46"/>
      <c r="U366" s="47"/>
    </row>
    <row r="367" spans="1:21" ht="94.5">
      <c r="A367" s="46">
        <v>354</v>
      </c>
      <c r="B367" s="46" t="s">
        <v>20</v>
      </c>
      <c r="C367" s="46" t="s">
        <v>504</v>
      </c>
      <c r="D367" s="46" t="s">
        <v>21</v>
      </c>
      <c r="E367" s="118" t="s">
        <v>1796</v>
      </c>
      <c r="F367" s="39" t="s">
        <v>1721</v>
      </c>
      <c r="G367" s="120" t="s">
        <v>1797</v>
      </c>
      <c r="H367" s="90" t="s">
        <v>1798</v>
      </c>
      <c r="I367" s="48">
        <v>42885</v>
      </c>
      <c r="J367" s="50">
        <v>1129708.8</v>
      </c>
      <c r="K367" s="50">
        <v>1036947.48</v>
      </c>
      <c r="L367" s="51"/>
      <c r="M367" s="48" t="s">
        <v>1799</v>
      </c>
      <c r="N367" s="48" t="s">
        <v>161</v>
      </c>
      <c r="O367" s="46" t="s">
        <v>162</v>
      </c>
      <c r="P367" s="52">
        <v>3322011926</v>
      </c>
      <c r="Q367" s="53"/>
      <c r="R367" s="58" t="str">
        <f>HYPERLINK("https://drive.google.com/open?id=1IWu0gJS5ytD1-um-vga-NukxdgbmtYka","Договор")</f>
        <v>Договор</v>
      </c>
      <c r="S367" s="54"/>
      <c r="T367" s="54"/>
      <c r="U367" s="54"/>
    </row>
    <row r="368" spans="1:21" ht="78.75">
      <c r="A368" s="46">
        <v>355</v>
      </c>
      <c r="B368" s="46" t="s">
        <v>20</v>
      </c>
      <c r="C368" s="46" t="s">
        <v>504</v>
      </c>
      <c r="D368" s="46" t="s">
        <v>21</v>
      </c>
      <c r="E368" s="118" t="s">
        <v>1800</v>
      </c>
      <c r="F368" s="39" t="s">
        <v>1721</v>
      </c>
      <c r="G368" s="120" t="s">
        <v>1801</v>
      </c>
      <c r="H368" s="90" t="s">
        <v>1802</v>
      </c>
      <c r="I368" s="79">
        <v>42793</v>
      </c>
      <c r="J368" s="50">
        <v>2750804.6</v>
      </c>
      <c r="K368" s="50">
        <v>2523509.2999999998</v>
      </c>
      <c r="L368" s="51"/>
      <c r="M368" s="48" t="s">
        <v>1803</v>
      </c>
      <c r="N368" s="48" t="s">
        <v>794</v>
      </c>
      <c r="O368" s="46" t="s">
        <v>795</v>
      </c>
      <c r="P368" s="52">
        <v>3304010990</v>
      </c>
      <c r="Q368" s="53"/>
      <c r="R368" s="58" t="str">
        <f>HYPERLINK("https://drive.google.com/open?id=1o2oKSthKYe3MUzcgGVLrDir80tRR0dC3","Договор")</f>
        <v>Договор</v>
      </c>
      <c r="S368" s="46"/>
      <c r="T368" s="46"/>
      <c r="U368" s="47"/>
    </row>
    <row r="369" spans="1:21" ht="78.75">
      <c r="A369" s="46">
        <v>356</v>
      </c>
      <c r="B369" s="46" t="s">
        <v>20</v>
      </c>
      <c r="C369" s="46" t="s">
        <v>504</v>
      </c>
      <c r="D369" s="46" t="s">
        <v>21</v>
      </c>
      <c r="E369" s="118" t="s">
        <v>1804</v>
      </c>
      <c r="F369" s="39" t="s">
        <v>1725</v>
      </c>
      <c r="G369" s="120" t="s">
        <v>1805</v>
      </c>
      <c r="H369" s="90" t="s">
        <v>1806</v>
      </c>
      <c r="I369" s="79">
        <v>42793</v>
      </c>
      <c r="J369" s="50">
        <v>2576714.84</v>
      </c>
      <c r="K369" s="50">
        <v>2372764.64</v>
      </c>
      <c r="L369" s="51"/>
      <c r="M369" s="48" t="s">
        <v>1807</v>
      </c>
      <c r="N369" s="48" t="s">
        <v>794</v>
      </c>
      <c r="O369" s="46" t="s">
        <v>795</v>
      </c>
      <c r="P369" s="52">
        <v>3304010990</v>
      </c>
      <c r="Q369" s="53"/>
      <c r="R369" s="58" t="str">
        <f>HYPERLINK("https://drive.google.com/open?id=1J7-AOlMwB2b6INxtnmDLqat8PrOzTFVX","Договор")</f>
        <v>Договор</v>
      </c>
      <c r="S369" s="46"/>
      <c r="T369" s="46"/>
      <c r="U369" s="47"/>
    </row>
    <row r="370" spans="1:21" ht="94.5">
      <c r="A370" s="46">
        <v>357</v>
      </c>
      <c r="B370" s="46" t="s">
        <v>20</v>
      </c>
      <c r="C370" s="46" t="s">
        <v>504</v>
      </c>
      <c r="D370" s="46" t="s">
        <v>21</v>
      </c>
      <c r="E370" s="118" t="s">
        <v>1808</v>
      </c>
      <c r="F370" s="39" t="s">
        <v>1721</v>
      </c>
      <c r="G370" s="120" t="s">
        <v>1809</v>
      </c>
      <c r="H370" s="90" t="s">
        <v>1810</v>
      </c>
      <c r="I370" s="48">
        <v>42885</v>
      </c>
      <c r="J370" s="50">
        <v>2154170.88</v>
      </c>
      <c r="K370" s="50">
        <v>1986375.62</v>
      </c>
      <c r="L370" s="98"/>
      <c r="M370" s="48" t="s">
        <v>1811</v>
      </c>
      <c r="N370" s="48" t="s">
        <v>272</v>
      </c>
      <c r="O370" s="46" t="s">
        <v>273</v>
      </c>
      <c r="P370" s="52">
        <v>3304015533</v>
      </c>
      <c r="Q370" s="53"/>
      <c r="R370" s="58" t="str">
        <f>HYPERLINK("https://drive.google.com/open?id=1ZvYuKG0fzJeQElVwWftP4CJxVazv_Njb","Договор")</f>
        <v>Договор</v>
      </c>
      <c r="S370" s="54"/>
      <c r="T370" s="54"/>
      <c r="U370" s="54"/>
    </row>
    <row r="371" spans="1:21" ht="94.5">
      <c r="A371" s="46">
        <v>358</v>
      </c>
      <c r="B371" s="46" t="s">
        <v>20</v>
      </c>
      <c r="C371" s="46" t="s">
        <v>504</v>
      </c>
      <c r="D371" s="46" t="s">
        <v>21</v>
      </c>
      <c r="E371" s="118" t="s">
        <v>1812</v>
      </c>
      <c r="F371" s="39" t="s">
        <v>1725</v>
      </c>
      <c r="G371" s="120" t="s">
        <v>1813</v>
      </c>
      <c r="H371" s="90" t="s">
        <v>1814</v>
      </c>
      <c r="I371" s="48">
        <v>42885</v>
      </c>
      <c r="J371" s="50">
        <v>2215287.75</v>
      </c>
      <c r="K371" s="50">
        <v>2042054.76</v>
      </c>
      <c r="L371" s="98"/>
      <c r="M371" s="48" t="s">
        <v>1815</v>
      </c>
      <c r="N371" s="48" t="s">
        <v>272</v>
      </c>
      <c r="O371" s="46" t="s">
        <v>273</v>
      </c>
      <c r="P371" s="52">
        <v>3304015533</v>
      </c>
      <c r="Q371" s="53"/>
      <c r="R371" s="58" t="str">
        <f>HYPERLINK("https://drive.google.com/open?id=1mCDh-JJiwwMxF4aIbAOTrNWu2-K7t9YL","Договор")</f>
        <v>Договор</v>
      </c>
      <c r="S371" s="54"/>
      <c r="T371" s="54"/>
      <c r="U371" s="54"/>
    </row>
    <row r="372" spans="1:21" ht="78.75">
      <c r="A372" s="55">
        <v>359</v>
      </c>
      <c r="B372" s="53" t="s">
        <v>20</v>
      </c>
      <c r="C372" s="46" t="s">
        <v>504</v>
      </c>
      <c r="D372" s="60" t="s">
        <v>21</v>
      </c>
      <c r="E372" s="118" t="s">
        <v>1816</v>
      </c>
      <c r="F372" s="39" t="s">
        <v>1721</v>
      </c>
      <c r="G372" s="120" t="s">
        <v>1817</v>
      </c>
      <c r="H372" s="61" t="s">
        <v>1818</v>
      </c>
      <c r="I372" s="86">
        <v>42793</v>
      </c>
      <c r="J372" s="50">
        <v>1549137.36</v>
      </c>
      <c r="K372" s="50">
        <v>1425390.37</v>
      </c>
      <c r="L372" s="85"/>
      <c r="M372" s="87" t="s">
        <v>1819</v>
      </c>
      <c r="N372" s="53" t="s">
        <v>641</v>
      </c>
      <c r="O372" s="53" t="s">
        <v>642</v>
      </c>
      <c r="P372" s="55">
        <v>3304018728</v>
      </c>
      <c r="Q372" s="53"/>
      <c r="R372" s="58" t="str">
        <f>HYPERLINK("https://drive.google.com/open?id=1CePUfiQkrg9Q24Syv3TJNOv_4M8fnHrM","Договор")</f>
        <v>Договор</v>
      </c>
      <c r="S372" s="22" t="str">
        <f>HYPERLINK("https://drive.google.com/open?id=1Fh3K691siL4NU4tMwT478NVCqoaRMO7g","Документы")</f>
        <v>Документы</v>
      </c>
      <c r="T372" s="55"/>
      <c r="U372" s="55"/>
    </row>
    <row r="373" spans="1:21" ht="204.75">
      <c r="A373" s="46">
        <v>360</v>
      </c>
      <c r="B373" s="46" t="s">
        <v>20</v>
      </c>
      <c r="C373" s="46" t="s">
        <v>504</v>
      </c>
      <c r="D373" s="46" t="s">
        <v>21</v>
      </c>
      <c r="E373" s="118" t="s">
        <v>1820</v>
      </c>
      <c r="F373" s="39" t="s">
        <v>1721</v>
      </c>
      <c r="G373" s="120" t="s">
        <v>1821</v>
      </c>
      <c r="H373" s="90" t="s">
        <v>1822</v>
      </c>
      <c r="I373" s="48">
        <v>42779</v>
      </c>
      <c r="J373" s="50">
        <v>565995.06999999995</v>
      </c>
      <c r="K373" s="50">
        <v>479656.84</v>
      </c>
      <c r="L373" s="98"/>
      <c r="M373" s="48" t="s">
        <v>265</v>
      </c>
      <c r="N373" s="48" t="s">
        <v>92</v>
      </c>
      <c r="O373" s="46" t="s">
        <v>93</v>
      </c>
      <c r="P373" s="52">
        <v>3327100418</v>
      </c>
      <c r="Q373" s="53"/>
      <c r="R373" s="58" t="str">
        <f>HYPERLINK("https://drive.google.com/open?id=1CLTh_2BXZITtGENHU0ETLCs9XBh8yOay","Договор")</f>
        <v>Договор</v>
      </c>
      <c r="S373" s="22" t="str">
        <f>HYPERLINK("https://drive.google.com/open?id=1XdKoYfKEoIwxGh8OFfjf9I4s6IFkH-3J","Документы")</f>
        <v>Документы</v>
      </c>
      <c r="T373" s="54"/>
      <c r="U373" s="54"/>
    </row>
    <row r="374" spans="1:21" ht="141.75">
      <c r="A374" s="46">
        <v>361</v>
      </c>
      <c r="B374" s="46" t="s">
        <v>20</v>
      </c>
      <c r="C374" s="46" t="s">
        <v>504</v>
      </c>
      <c r="D374" s="46" t="s">
        <v>21</v>
      </c>
      <c r="E374" s="118" t="s">
        <v>1823</v>
      </c>
      <c r="F374" s="39" t="s">
        <v>1721</v>
      </c>
      <c r="G374" s="120" t="s">
        <v>1824</v>
      </c>
      <c r="H374" s="48" t="s">
        <v>1825</v>
      </c>
      <c r="I374" s="48">
        <v>43090</v>
      </c>
      <c r="J374" s="50">
        <v>8607928.6099999994</v>
      </c>
      <c r="K374" s="50">
        <v>8607928.6099999994</v>
      </c>
      <c r="L374" s="51"/>
      <c r="M374" s="48" t="s">
        <v>1826</v>
      </c>
      <c r="N374" s="48" t="s">
        <v>1340</v>
      </c>
      <c r="O374" s="46" t="s">
        <v>1341</v>
      </c>
      <c r="P374" s="52">
        <v>3306014207</v>
      </c>
      <c r="Q374" s="53"/>
      <c r="R374" s="58" t="str">
        <f>HYPERLINK("https://drive.google.com/open?id=1clriOBS038JpT_M0f_8QeGWAVoYVVszX","Договор")</f>
        <v>Договор</v>
      </c>
      <c r="S374" s="54"/>
      <c r="T374" s="54"/>
      <c r="U374" s="54"/>
    </row>
    <row r="375" spans="1:21" ht="110.25">
      <c r="A375" s="46">
        <v>362</v>
      </c>
      <c r="B375" s="46" t="s">
        <v>20</v>
      </c>
      <c r="C375" s="46" t="s">
        <v>504</v>
      </c>
      <c r="D375" s="46" t="s">
        <v>21</v>
      </c>
      <c r="E375" s="118" t="s">
        <v>1827</v>
      </c>
      <c r="F375" s="39" t="s">
        <v>1785</v>
      </c>
      <c r="G375" s="120" t="s">
        <v>1828</v>
      </c>
      <c r="H375" s="48" t="s">
        <v>1829</v>
      </c>
      <c r="I375" s="48">
        <v>42788</v>
      </c>
      <c r="J375" s="50">
        <v>2020546.01</v>
      </c>
      <c r="K375" s="50">
        <v>1845307.05</v>
      </c>
      <c r="L375" s="51"/>
      <c r="M375" s="48">
        <v>43351</v>
      </c>
      <c r="N375" s="46" t="s">
        <v>292</v>
      </c>
      <c r="O375" s="46" t="s">
        <v>293</v>
      </c>
      <c r="P375" s="56">
        <v>3321012860</v>
      </c>
      <c r="Q375" s="53" t="s">
        <v>1830</v>
      </c>
      <c r="R375" s="58" t="str">
        <f>HYPERLINK("https://drive.google.com/open?id=1xWkAmIzjPKwX6e86QzXFBTLBtPSroqdV","Договор")</f>
        <v>Договор</v>
      </c>
      <c r="S375" s="54"/>
      <c r="T375" s="54"/>
      <c r="U375" s="54"/>
    </row>
    <row r="376" spans="1:21" ht="78.75">
      <c r="A376" s="46">
        <v>363</v>
      </c>
      <c r="B376" s="46" t="s">
        <v>20</v>
      </c>
      <c r="C376" s="46" t="s">
        <v>504</v>
      </c>
      <c r="D376" s="46" t="s">
        <v>21</v>
      </c>
      <c r="E376" s="117" t="s">
        <v>1831</v>
      </c>
      <c r="F376" s="48" t="s">
        <v>1832</v>
      </c>
      <c r="G376" s="120" t="s">
        <v>1833</v>
      </c>
      <c r="H376" s="90" t="s">
        <v>1009</v>
      </c>
      <c r="I376" s="48">
        <v>42779</v>
      </c>
      <c r="J376" s="50">
        <v>272399.12</v>
      </c>
      <c r="K376" s="97">
        <v>205661.12</v>
      </c>
      <c r="L376" s="51"/>
      <c r="M376" s="48" t="s">
        <v>1582</v>
      </c>
      <c r="N376" s="48" t="s">
        <v>173</v>
      </c>
      <c r="O376" s="46" t="s">
        <v>174</v>
      </c>
      <c r="P376" s="52">
        <v>4345265453</v>
      </c>
      <c r="Q376" s="53" t="s">
        <v>1834</v>
      </c>
      <c r="R376" s="58" t="str">
        <f>HYPERLINK("https://drive.google.com/open?id=1jKqwrRaoXD7Fy8XitwIAlc5JxuUi1OSt","Договор")</f>
        <v>Договор</v>
      </c>
      <c r="S376" s="22" t="str">
        <f>HYPERLINK("https://drive.google.com/open?id=1gO9MEukfetPZC05c0f-0xD_Sd37pXao5","Документы")</f>
        <v>Документы</v>
      </c>
      <c r="T376" s="53"/>
      <c r="U376" s="54"/>
    </row>
    <row r="377" spans="1:21" ht="78.75">
      <c r="A377" s="46">
        <v>364</v>
      </c>
      <c r="B377" s="46" t="s">
        <v>20</v>
      </c>
      <c r="C377" s="46" t="s">
        <v>504</v>
      </c>
      <c r="D377" s="46" t="s">
        <v>21</v>
      </c>
      <c r="E377" s="118" t="s">
        <v>1835</v>
      </c>
      <c r="F377" s="39" t="s">
        <v>1785</v>
      </c>
      <c r="G377" s="120" t="s">
        <v>1836</v>
      </c>
      <c r="H377" s="48" t="s">
        <v>1837</v>
      </c>
      <c r="I377" s="48">
        <v>42793</v>
      </c>
      <c r="J377" s="50">
        <v>2851368.96</v>
      </c>
      <c r="K377" s="102">
        <v>2624647.14</v>
      </c>
      <c r="L377" s="85"/>
      <c r="M377" s="48">
        <v>43366</v>
      </c>
      <c r="N377" s="46" t="s">
        <v>26</v>
      </c>
      <c r="O377" s="46" t="s">
        <v>28</v>
      </c>
      <c r="P377" s="55">
        <v>3316002190</v>
      </c>
      <c r="Q377" s="53" t="s">
        <v>1838</v>
      </c>
      <c r="R377" s="58" t="str">
        <f>HYPERLINK("https://drive.google.com/open?id=1HmopeYPiSmnDQHVCZiRzM3BetJy0G1vX","Договор")</f>
        <v>Договор</v>
      </c>
      <c r="S377" s="22" t="str">
        <f>HYPERLINK("https://drive.google.com/open?id=17K3hwKVMcx1DGnCPnCF-vGkOtbYUpHzU","Документы")</f>
        <v>Документы</v>
      </c>
      <c r="T377" s="104"/>
      <c r="U377" s="104"/>
    </row>
    <row r="378" spans="1:21" ht="78.75">
      <c r="A378" s="46">
        <v>365</v>
      </c>
      <c r="B378" s="46" t="s">
        <v>20</v>
      </c>
      <c r="C378" s="46" t="s">
        <v>504</v>
      </c>
      <c r="D378" s="60" t="s">
        <v>21</v>
      </c>
      <c r="E378" s="118" t="s">
        <v>1839</v>
      </c>
      <c r="F378" s="39" t="s">
        <v>1840</v>
      </c>
      <c r="G378" s="120" t="s">
        <v>1841</v>
      </c>
      <c r="H378" s="61" t="s">
        <v>1842</v>
      </c>
      <c r="I378" s="48"/>
      <c r="J378" s="50">
        <v>1953405.82</v>
      </c>
      <c r="K378" s="50">
        <v>1792767.34</v>
      </c>
      <c r="L378" s="51">
        <v>0</v>
      </c>
      <c r="M378" s="48">
        <v>43354</v>
      </c>
      <c r="N378" s="48" t="s">
        <v>1697</v>
      </c>
      <c r="O378" s="46" t="s">
        <v>1698</v>
      </c>
      <c r="P378" s="52">
        <v>3311011385</v>
      </c>
      <c r="Q378" s="53" t="s">
        <v>1843</v>
      </c>
      <c r="R378" s="58" t="str">
        <f>HYPERLINK("https://drive.google.com/open?id=15kIxQGk4HwOx0Ia4aXJyvALZHcSz303m","Договор")</f>
        <v>Договор</v>
      </c>
      <c r="S378" s="54"/>
      <c r="T378" s="54"/>
      <c r="U378" s="54"/>
    </row>
    <row r="379" spans="1:21" ht="94.5">
      <c r="A379" s="46">
        <v>366</v>
      </c>
      <c r="B379" s="46" t="s">
        <v>20</v>
      </c>
      <c r="C379" s="46" t="s">
        <v>504</v>
      </c>
      <c r="D379" s="46" t="s">
        <v>21</v>
      </c>
      <c r="E379" s="118" t="s">
        <v>1844</v>
      </c>
      <c r="F379" s="39" t="s">
        <v>1785</v>
      </c>
      <c r="G379" s="120" t="s">
        <v>1845</v>
      </c>
      <c r="H379" s="90" t="s">
        <v>1846</v>
      </c>
      <c r="I379" s="48">
        <v>42885</v>
      </c>
      <c r="J379" s="50">
        <v>1945113.95</v>
      </c>
      <c r="K379" s="50">
        <v>1804992.59</v>
      </c>
      <c r="L379" s="51"/>
      <c r="M379" s="48">
        <v>43342</v>
      </c>
      <c r="N379" s="48" t="s">
        <v>161</v>
      </c>
      <c r="O379" s="46" t="s">
        <v>162</v>
      </c>
      <c r="P379" s="52">
        <v>3322011926</v>
      </c>
      <c r="Q379" s="53" t="s">
        <v>1847</v>
      </c>
      <c r="R379" s="58" t="str">
        <f>HYPERLINK("https://drive.google.com/open?id=1ljfdnID4gYNaodjuGg_kulO0t67EznOM","Договор")</f>
        <v>Договор</v>
      </c>
      <c r="S379" s="54"/>
      <c r="T379" s="54"/>
      <c r="U379" s="54"/>
    </row>
    <row r="380" spans="1:21" ht="78.75">
      <c r="A380" s="46">
        <v>367</v>
      </c>
      <c r="B380" s="46" t="s">
        <v>20</v>
      </c>
      <c r="C380" s="46" t="s">
        <v>504</v>
      </c>
      <c r="D380" s="60" t="s">
        <v>21</v>
      </c>
      <c r="E380" s="118" t="s">
        <v>1848</v>
      </c>
      <c r="F380" s="39" t="s">
        <v>1785</v>
      </c>
      <c r="G380" s="120" t="s">
        <v>1849</v>
      </c>
      <c r="H380" s="61" t="s">
        <v>1850</v>
      </c>
      <c r="I380" s="48"/>
      <c r="J380" s="50">
        <v>2176322.5</v>
      </c>
      <c r="K380" s="50">
        <v>1998165.52</v>
      </c>
      <c r="L380" s="51">
        <v>0</v>
      </c>
      <c r="M380" s="48">
        <v>43354</v>
      </c>
      <c r="N380" s="48" t="s">
        <v>1697</v>
      </c>
      <c r="O380" s="46" t="s">
        <v>1698</v>
      </c>
      <c r="P380" s="52">
        <v>3311011385</v>
      </c>
      <c r="Q380" s="53" t="s">
        <v>1851</v>
      </c>
      <c r="R380" s="58" t="str">
        <f>HYPERLINK("https://drive.google.com/open?id=14JGgiu60K8KpD3_z2xlTNZSLv2gLp_xE","Договор")</f>
        <v>Договор</v>
      </c>
      <c r="S380" s="54"/>
      <c r="T380" s="54"/>
      <c r="U380" s="54"/>
    </row>
    <row r="381" spans="1:21" ht="126">
      <c r="A381" s="46">
        <v>368</v>
      </c>
      <c r="B381" s="46" t="s">
        <v>20</v>
      </c>
      <c r="C381" s="46" t="s">
        <v>504</v>
      </c>
      <c r="D381" s="60" t="s">
        <v>21</v>
      </c>
      <c r="E381" s="118" t="s">
        <v>1852</v>
      </c>
      <c r="F381" s="39" t="s">
        <v>1785</v>
      </c>
      <c r="G381" s="120" t="s">
        <v>1853</v>
      </c>
      <c r="H381" s="90" t="s">
        <v>1854</v>
      </c>
      <c r="I381" s="61">
        <v>42849</v>
      </c>
      <c r="J381" s="50">
        <v>357078.63</v>
      </c>
      <c r="K381" s="50">
        <v>357078.63</v>
      </c>
      <c r="L381" s="51"/>
      <c r="M381" s="48" t="s">
        <v>73</v>
      </c>
      <c r="N381" s="48" t="s">
        <v>1120</v>
      </c>
      <c r="O381" s="46" t="s">
        <v>1121</v>
      </c>
      <c r="P381" s="52">
        <v>7610052877</v>
      </c>
      <c r="Q381" s="53"/>
      <c r="R381" s="58" t="str">
        <f>HYPERLINK("https://drive.google.com/open?id=1VoU9ijoZXR383hMvUc8BmOIqkyFF0-T7","Договор")</f>
        <v>Договор</v>
      </c>
      <c r="S381" s="46"/>
      <c r="T381" s="46"/>
      <c r="U381" s="54"/>
    </row>
    <row r="382" spans="1:21" ht="78.75">
      <c r="A382" s="46">
        <v>369</v>
      </c>
      <c r="B382" s="46" t="s">
        <v>20</v>
      </c>
      <c r="C382" s="46" t="s">
        <v>504</v>
      </c>
      <c r="D382" s="60" t="s">
        <v>21</v>
      </c>
      <c r="E382" s="118" t="s">
        <v>1855</v>
      </c>
      <c r="F382" s="39" t="s">
        <v>1785</v>
      </c>
      <c r="G382" s="120" t="s">
        <v>1856</v>
      </c>
      <c r="H382" s="90" t="s">
        <v>1857</v>
      </c>
      <c r="I382" s="48">
        <v>42793</v>
      </c>
      <c r="J382" s="50">
        <v>1856193.97</v>
      </c>
      <c r="K382" s="50">
        <v>1712299.53</v>
      </c>
      <c r="L382" s="51"/>
      <c r="M382" s="48">
        <v>43351</v>
      </c>
      <c r="N382" s="46" t="s">
        <v>906</v>
      </c>
      <c r="O382" s="53" t="s">
        <v>907</v>
      </c>
      <c r="P382" s="89">
        <v>3301013986</v>
      </c>
      <c r="Q382" s="53" t="s">
        <v>1858</v>
      </c>
      <c r="R382" s="58" t="str">
        <f>HYPERLINK("https://drive.google.com/open?id=1gQGbOrksBlNROWt-YzG0g3QbkvTwUzoL","Договор")</f>
        <v>Договор</v>
      </c>
      <c r="S382" s="55"/>
      <c r="T382" s="55"/>
      <c r="U382" s="54"/>
    </row>
    <row r="383" spans="1:21" ht="141.75">
      <c r="A383" s="46">
        <v>370</v>
      </c>
      <c r="B383" s="46" t="s">
        <v>20</v>
      </c>
      <c r="C383" s="46" t="s">
        <v>504</v>
      </c>
      <c r="D383" s="46" t="s">
        <v>21</v>
      </c>
      <c r="E383" s="118" t="s">
        <v>1859</v>
      </c>
      <c r="F383" s="39" t="s">
        <v>1860</v>
      </c>
      <c r="G383" s="120" t="s">
        <v>1861</v>
      </c>
      <c r="H383" s="48" t="s">
        <v>1862</v>
      </c>
      <c r="I383" s="48">
        <v>43090</v>
      </c>
      <c r="J383" s="50">
        <v>12079106.77</v>
      </c>
      <c r="K383" s="50">
        <v>12079106.77</v>
      </c>
      <c r="L383" s="51"/>
      <c r="M383" s="48">
        <v>43108</v>
      </c>
      <c r="N383" s="48" t="s">
        <v>1340</v>
      </c>
      <c r="O383" s="46" t="s">
        <v>1341</v>
      </c>
      <c r="P383" s="52">
        <v>3306014207</v>
      </c>
      <c r="Q383" s="53"/>
      <c r="R383" s="58" t="str">
        <f>HYPERLINK("https://drive.google.com/open?id=1nffZFJjOTPDL6loYsUxgIvF6yI7EdXO8","Договор")</f>
        <v>Договор</v>
      </c>
      <c r="S383" s="54"/>
      <c r="T383" s="54"/>
      <c r="U383" s="54"/>
    </row>
    <row r="384" spans="1:21" ht="63">
      <c r="A384" s="46">
        <v>371</v>
      </c>
      <c r="B384" s="46" t="s">
        <v>20</v>
      </c>
      <c r="C384" s="46" t="s">
        <v>504</v>
      </c>
      <c r="D384" s="46" t="s">
        <v>21</v>
      </c>
      <c r="E384" s="117" t="s">
        <v>1863</v>
      </c>
      <c r="F384" s="48" t="s">
        <v>1864</v>
      </c>
      <c r="G384" s="120" t="s">
        <v>1865</v>
      </c>
      <c r="H384" s="49" t="s">
        <v>1866</v>
      </c>
      <c r="I384" s="48">
        <v>42793</v>
      </c>
      <c r="J384" s="50">
        <v>5389881.2599999998</v>
      </c>
      <c r="K384" s="50">
        <v>5389881.2599999998</v>
      </c>
      <c r="L384" s="51">
        <v>0</v>
      </c>
      <c r="M384" s="48">
        <v>43405</v>
      </c>
      <c r="N384" s="48" t="s">
        <v>1200</v>
      </c>
      <c r="O384" s="46" t="s">
        <v>1201</v>
      </c>
      <c r="P384" s="52">
        <v>3305003918</v>
      </c>
      <c r="Q384" s="46"/>
      <c r="R384" s="58" t="str">
        <f>HYPERLINK("https://drive.google.com/open?id=13sJ6J0aOMQvD4OBSKuzcMX2D4PqHLAcp","Договор")</f>
        <v>Договор</v>
      </c>
      <c r="S384" s="46"/>
      <c r="T384" s="46"/>
      <c r="U384" s="47"/>
    </row>
    <row r="385" spans="1:21" ht="63">
      <c r="A385" s="55">
        <v>372</v>
      </c>
      <c r="B385" s="53" t="s">
        <v>20</v>
      </c>
      <c r="C385" s="46" t="s">
        <v>504</v>
      </c>
      <c r="D385" s="46" t="s">
        <v>21</v>
      </c>
      <c r="E385" s="118" t="s">
        <v>1867</v>
      </c>
      <c r="F385" s="48" t="s">
        <v>1868</v>
      </c>
      <c r="G385" s="120" t="s">
        <v>1869</v>
      </c>
      <c r="H385" s="90" t="s">
        <v>1870</v>
      </c>
      <c r="I385" s="86">
        <v>42885</v>
      </c>
      <c r="J385" s="50">
        <v>1317530.45</v>
      </c>
      <c r="K385" s="50">
        <v>1199948.47</v>
      </c>
      <c r="L385" s="85"/>
      <c r="M385" s="87">
        <v>43347</v>
      </c>
      <c r="N385" s="53" t="s">
        <v>624</v>
      </c>
      <c r="O385" s="53" t="s">
        <v>625</v>
      </c>
      <c r="P385" s="55">
        <v>3328457763</v>
      </c>
      <c r="Q385" s="53" t="s">
        <v>1871</v>
      </c>
      <c r="R385" s="58" t="str">
        <f>HYPERLINK("https://drive.google.com/open?id=15cDZhedyYtWm1GVjGUkFWiJBKcDSm37M","Договор")</f>
        <v>Договор</v>
      </c>
      <c r="S385" s="55"/>
      <c r="T385" s="55"/>
      <c r="U385" s="55"/>
    </row>
    <row r="386" spans="1:21" ht="63">
      <c r="A386" s="55">
        <v>373</v>
      </c>
      <c r="B386" s="53" t="s">
        <v>20</v>
      </c>
      <c r="C386" s="46" t="s">
        <v>504</v>
      </c>
      <c r="D386" s="46" t="s">
        <v>21</v>
      </c>
      <c r="E386" s="118" t="s">
        <v>1872</v>
      </c>
      <c r="F386" s="48" t="s">
        <v>1868</v>
      </c>
      <c r="G386" s="120" t="s">
        <v>1873</v>
      </c>
      <c r="H386" s="90" t="s">
        <v>1874</v>
      </c>
      <c r="I386" s="86">
        <v>42885</v>
      </c>
      <c r="J386" s="50">
        <v>1311447.47</v>
      </c>
      <c r="K386" s="50">
        <v>1194666.92</v>
      </c>
      <c r="L386" s="85"/>
      <c r="M386" s="87">
        <v>43347</v>
      </c>
      <c r="N386" s="53" t="s">
        <v>624</v>
      </c>
      <c r="O386" s="53" t="s">
        <v>625</v>
      </c>
      <c r="P386" s="55">
        <v>3328457763</v>
      </c>
      <c r="Q386" s="53" t="s">
        <v>1875</v>
      </c>
      <c r="R386" s="58" t="str">
        <f>HYPERLINK("https://drive.google.com/open?id=1I3rz5fB3_83X-xK05UvAM-cZQf1MuLtE","Договор")</f>
        <v>Договор</v>
      </c>
      <c r="S386" s="55"/>
      <c r="T386" s="55"/>
      <c r="U386" s="55"/>
    </row>
    <row r="387" spans="1:21" ht="78.75">
      <c r="A387" s="55">
        <v>374</v>
      </c>
      <c r="B387" s="53" t="s">
        <v>20</v>
      </c>
      <c r="C387" s="53" t="s">
        <v>504</v>
      </c>
      <c r="D387" s="70" t="s">
        <v>21</v>
      </c>
      <c r="E387" s="118" t="s">
        <v>1876</v>
      </c>
      <c r="F387" s="48" t="s">
        <v>1877</v>
      </c>
      <c r="G387" s="120" t="s">
        <v>1878</v>
      </c>
      <c r="H387" s="90" t="s">
        <v>1879</v>
      </c>
      <c r="I387" s="73">
        <v>42671</v>
      </c>
      <c r="J387" s="50">
        <v>1992333.84</v>
      </c>
      <c r="K387" s="50">
        <v>1832819.91</v>
      </c>
      <c r="L387" s="85"/>
      <c r="M387" s="119">
        <v>43353</v>
      </c>
      <c r="N387" s="53" t="s">
        <v>31</v>
      </c>
      <c r="O387" s="53" t="s">
        <v>678</v>
      </c>
      <c r="P387" s="89">
        <v>3304016992</v>
      </c>
      <c r="Q387" s="53" t="s">
        <v>1880</v>
      </c>
      <c r="R387" s="58" t="str">
        <f>HYPERLINK("https://drive.google.com/open?id=18WP00uICMiJUMQCnIjg5MV6SgBUW0Fka","Договор")</f>
        <v>Договор</v>
      </c>
      <c r="S387" s="55"/>
      <c r="T387" s="55"/>
      <c r="U387" s="55"/>
    </row>
    <row r="388" spans="1:21" ht="94.5">
      <c r="A388" s="46">
        <v>375</v>
      </c>
      <c r="B388" s="46" t="s">
        <v>20</v>
      </c>
      <c r="C388" s="46" t="s">
        <v>504</v>
      </c>
      <c r="D388" s="46" t="s">
        <v>21</v>
      </c>
      <c r="E388" s="118" t="s">
        <v>1881</v>
      </c>
      <c r="F388" s="48" t="s">
        <v>1882</v>
      </c>
      <c r="G388" s="120" t="s">
        <v>1883</v>
      </c>
      <c r="H388" s="90" t="s">
        <v>1884</v>
      </c>
      <c r="I388" s="48">
        <v>42844</v>
      </c>
      <c r="J388" s="50">
        <v>128577.49</v>
      </c>
      <c r="K388" s="50">
        <v>108963.97</v>
      </c>
      <c r="L388" s="51"/>
      <c r="M388" s="48" t="s">
        <v>100</v>
      </c>
      <c r="N388" s="48" t="s">
        <v>74</v>
      </c>
      <c r="O388" s="46" t="s">
        <v>75</v>
      </c>
      <c r="P388" s="52">
        <v>4345342965</v>
      </c>
      <c r="Q388" s="53" t="s">
        <v>1885</v>
      </c>
      <c r="R388" s="58" t="str">
        <f>HYPERLINK("https://drive.google.com/open?id=1OzDmC9XB3ZZf5g5N6cpT3dD5Q2El6Vqo","Договор")</f>
        <v>Договор</v>
      </c>
      <c r="S388" s="46"/>
      <c r="T388" s="46"/>
      <c r="U388" s="54"/>
    </row>
    <row r="389" spans="1:21" ht="78.75">
      <c r="A389" s="46">
        <v>376</v>
      </c>
      <c r="B389" s="46" t="s">
        <v>20</v>
      </c>
      <c r="C389" s="46" t="s">
        <v>504</v>
      </c>
      <c r="D389" s="46" t="s">
        <v>21</v>
      </c>
      <c r="E389" s="118" t="s">
        <v>1886</v>
      </c>
      <c r="F389" s="48" t="s">
        <v>1887</v>
      </c>
      <c r="G389" s="120" t="s">
        <v>1888</v>
      </c>
      <c r="H389" s="90" t="s">
        <v>1889</v>
      </c>
      <c r="I389" s="73">
        <v>42884</v>
      </c>
      <c r="J389" s="50">
        <v>5699536.04</v>
      </c>
      <c r="K389" s="50">
        <v>5304814.1100000003</v>
      </c>
      <c r="L389" s="51"/>
      <c r="M389" s="87">
        <v>43420</v>
      </c>
      <c r="N389" s="53" t="s">
        <v>672</v>
      </c>
      <c r="O389" s="53" t="s">
        <v>673</v>
      </c>
      <c r="P389" s="89">
        <v>3305709894</v>
      </c>
      <c r="Q389" s="53" t="s">
        <v>1890</v>
      </c>
      <c r="R389" s="58" t="str">
        <f>HYPERLINK("https://drive.google.com/open?id=1zG1ygoi5HqiIh0BT3p1ZEJ6dfOGzExXU","Договор")</f>
        <v>Договор</v>
      </c>
      <c r="S389" s="55"/>
      <c r="T389" s="55"/>
      <c r="U389" s="54"/>
    </row>
    <row r="390" spans="1:21" ht="78.75">
      <c r="A390" s="46">
        <v>377</v>
      </c>
      <c r="B390" s="46" t="s">
        <v>20</v>
      </c>
      <c r="C390" s="46" t="s">
        <v>504</v>
      </c>
      <c r="D390" s="46" t="s">
        <v>21</v>
      </c>
      <c r="E390" s="118" t="s">
        <v>1891</v>
      </c>
      <c r="F390" s="39" t="s">
        <v>1892</v>
      </c>
      <c r="G390" s="120" t="s">
        <v>1893</v>
      </c>
      <c r="H390" s="90" t="s">
        <v>1894</v>
      </c>
      <c r="I390" s="79">
        <v>42793</v>
      </c>
      <c r="J390" s="50">
        <v>8594243.8699999992</v>
      </c>
      <c r="K390" s="97">
        <v>7911962.2800000003</v>
      </c>
      <c r="L390" s="51"/>
      <c r="M390" s="48">
        <v>43500</v>
      </c>
      <c r="N390" s="48" t="s">
        <v>513</v>
      </c>
      <c r="O390" s="92" t="s">
        <v>801</v>
      </c>
      <c r="P390" s="52">
        <v>3308004490</v>
      </c>
      <c r="Q390" s="53" t="s">
        <v>1895</v>
      </c>
      <c r="R390" s="58" t="str">
        <f>HYPERLINK("https://drive.google.com/open?id=1XxWc1O-10VYQPfMTkcFQgKn7L_UGXPB2","Договор")</f>
        <v>Договор</v>
      </c>
      <c r="S390" s="46"/>
      <c r="T390" s="46"/>
      <c r="U390" s="47"/>
    </row>
    <row r="391" spans="1:21" ht="78.75">
      <c r="A391" s="46">
        <v>378</v>
      </c>
      <c r="B391" s="46" t="s">
        <v>20</v>
      </c>
      <c r="C391" s="46" t="s">
        <v>504</v>
      </c>
      <c r="D391" s="46" t="s">
        <v>21</v>
      </c>
      <c r="E391" s="118" t="s">
        <v>1896</v>
      </c>
      <c r="F391" s="48" t="s">
        <v>1897</v>
      </c>
      <c r="G391" s="120" t="s">
        <v>1898</v>
      </c>
      <c r="H391" s="90" t="s">
        <v>1899</v>
      </c>
      <c r="I391" s="73">
        <v>42884</v>
      </c>
      <c r="J391" s="50">
        <v>953669.63</v>
      </c>
      <c r="K391" s="50">
        <v>846588.81</v>
      </c>
      <c r="L391" s="51"/>
      <c r="M391" s="87">
        <v>43372</v>
      </c>
      <c r="N391" s="53" t="s">
        <v>672</v>
      </c>
      <c r="O391" s="53" t="s">
        <v>673</v>
      </c>
      <c r="P391" s="89">
        <v>3305709894</v>
      </c>
      <c r="Q391" s="53" t="s">
        <v>1900</v>
      </c>
      <c r="R391" s="58" t="str">
        <f>HYPERLINK("https://drive.google.com/open?id=10WD_OSVIwel35r5iQq6cjzP6cMTDSV5D","Договор")</f>
        <v>Договор</v>
      </c>
      <c r="S391" s="55"/>
      <c r="T391" s="55"/>
      <c r="U391" s="54"/>
    </row>
    <row r="392" spans="1:21" ht="78.75">
      <c r="A392" s="46">
        <v>379</v>
      </c>
      <c r="B392" s="46" t="s">
        <v>20</v>
      </c>
      <c r="C392" s="46" t="s">
        <v>504</v>
      </c>
      <c r="D392" s="46" t="s">
        <v>21</v>
      </c>
      <c r="E392" s="118" t="s">
        <v>1901</v>
      </c>
      <c r="F392" s="39" t="s">
        <v>1892</v>
      </c>
      <c r="G392" s="120" t="s">
        <v>1902</v>
      </c>
      <c r="H392" s="90" t="s">
        <v>1903</v>
      </c>
      <c r="I392" s="79">
        <v>42793</v>
      </c>
      <c r="J392" s="50">
        <v>1764902.91</v>
      </c>
      <c r="K392" s="50">
        <v>1626324.73</v>
      </c>
      <c r="L392" s="51"/>
      <c r="M392" s="48">
        <v>43364</v>
      </c>
      <c r="N392" s="48" t="s">
        <v>794</v>
      </c>
      <c r="O392" s="46" t="s">
        <v>795</v>
      </c>
      <c r="P392" s="52">
        <v>3304010990</v>
      </c>
      <c r="Q392" s="53" t="s">
        <v>1904</v>
      </c>
      <c r="R392" s="58" t="str">
        <f>HYPERLINK("https://drive.google.com/open?id=1pBy9BEZSfn3J5g4-MXRiKFBWRR91aGrE","Договор")</f>
        <v>Договор</v>
      </c>
      <c r="S392" s="46"/>
      <c r="T392" s="46"/>
      <c r="U392" s="47"/>
    </row>
    <row r="393" spans="1:21" ht="141.75">
      <c r="A393" s="46">
        <v>380</v>
      </c>
      <c r="B393" s="46" t="s">
        <v>20</v>
      </c>
      <c r="C393" s="46" t="s">
        <v>504</v>
      </c>
      <c r="D393" s="46" t="s">
        <v>21</v>
      </c>
      <c r="E393" s="118" t="s">
        <v>1905</v>
      </c>
      <c r="F393" s="39" t="s">
        <v>1892</v>
      </c>
      <c r="G393" s="120" t="s">
        <v>1906</v>
      </c>
      <c r="H393" s="48" t="s">
        <v>1907</v>
      </c>
      <c r="I393" s="48">
        <v>43090</v>
      </c>
      <c r="J393" s="50">
        <v>9335308.0999999996</v>
      </c>
      <c r="K393" s="50">
        <v>9335308.0999999996</v>
      </c>
      <c r="L393" s="51"/>
      <c r="M393" s="48">
        <v>43388</v>
      </c>
      <c r="N393" s="48" t="s">
        <v>1340</v>
      </c>
      <c r="O393" s="46" t="s">
        <v>1341</v>
      </c>
      <c r="P393" s="52">
        <v>3306014207</v>
      </c>
      <c r="Q393" s="53"/>
      <c r="R393" s="58" t="str">
        <f>HYPERLINK("https://drive.google.com/open?id=1fSoty2r9Bx9gBiCXnqkZMst45Icr9DW4","Договор")</f>
        <v>Договор</v>
      </c>
      <c r="S393" s="54"/>
      <c r="T393" s="54"/>
      <c r="U393" s="54"/>
    </row>
    <row r="394" spans="1:21" ht="63">
      <c r="A394" s="46">
        <v>381</v>
      </c>
      <c r="B394" s="46" t="s">
        <v>20</v>
      </c>
      <c r="C394" s="46" t="s">
        <v>504</v>
      </c>
      <c r="D394" s="46" t="s">
        <v>21</v>
      </c>
      <c r="E394" s="117" t="s">
        <v>1908</v>
      </c>
      <c r="F394" s="48" t="s">
        <v>1909</v>
      </c>
      <c r="G394" s="120" t="s">
        <v>1910</v>
      </c>
      <c r="H394" s="49" t="s">
        <v>1911</v>
      </c>
      <c r="I394" s="48">
        <v>42793</v>
      </c>
      <c r="J394" s="50">
        <v>6628562.6299999999</v>
      </c>
      <c r="K394" s="50">
        <v>6628562.6299999999</v>
      </c>
      <c r="L394" s="51">
        <v>0</v>
      </c>
      <c r="M394" s="48">
        <v>43405</v>
      </c>
      <c r="N394" s="48" t="s">
        <v>1200</v>
      </c>
      <c r="O394" s="46" t="s">
        <v>1201</v>
      </c>
      <c r="P394" s="52">
        <v>3305003918</v>
      </c>
      <c r="Q394" s="46"/>
      <c r="R394" s="58" t="str">
        <f>HYPERLINK("https://drive.google.com/open?id=1w0dU3zS7vxRMZahElAkCRDd44--ZwT1t","Договор")</f>
        <v>Договор</v>
      </c>
      <c r="S394" s="46"/>
      <c r="T394" s="46"/>
      <c r="U394" s="47"/>
    </row>
    <row r="395" spans="1:21" ht="78.75">
      <c r="A395" s="46">
        <v>382</v>
      </c>
      <c r="B395" s="46" t="s">
        <v>20</v>
      </c>
      <c r="C395" s="46" t="s">
        <v>504</v>
      </c>
      <c r="D395" s="46" t="s">
        <v>21</v>
      </c>
      <c r="E395" s="117" t="s">
        <v>1912</v>
      </c>
      <c r="F395" s="48" t="s">
        <v>1913</v>
      </c>
      <c r="G395" s="120" t="s">
        <v>1914</v>
      </c>
      <c r="H395" s="90" t="s">
        <v>1009</v>
      </c>
      <c r="I395" s="48">
        <v>42779</v>
      </c>
      <c r="J395" s="50">
        <v>93089.81</v>
      </c>
      <c r="K395" s="97">
        <v>78889.67</v>
      </c>
      <c r="L395" s="51"/>
      <c r="M395" s="48" t="s">
        <v>1582</v>
      </c>
      <c r="N395" s="48" t="s">
        <v>173</v>
      </c>
      <c r="O395" s="46" t="s">
        <v>174</v>
      </c>
      <c r="P395" s="52">
        <v>4345265453</v>
      </c>
      <c r="Q395" s="53" t="s">
        <v>1915</v>
      </c>
      <c r="R395" s="58" t="str">
        <f>HYPERLINK("https://drive.google.com/open?id=18Z9lTy_ljrfhIJnWsi0iM-yXwI5Qh7iI","Договор")</f>
        <v>Договор</v>
      </c>
      <c r="S395" s="22" t="str">
        <f>HYPERLINK("https://drive.google.com/open?id=1F5bWTm8N1nnqQqiAiiaw5ScCrlu_Hyh4","Документы")</f>
        <v>Документы</v>
      </c>
      <c r="T395" s="46"/>
      <c r="U395" s="54"/>
    </row>
    <row r="396" spans="1:21" ht="78.75">
      <c r="A396" s="46">
        <v>383</v>
      </c>
      <c r="B396" s="46" t="s">
        <v>20</v>
      </c>
      <c r="C396" s="46" t="s">
        <v>504</v>
      </c>
      <c r="D396" s="46" t="s">
        <v>21</v>
      </c>
      <c r="E396" s="118" t="s">
        <v>1916</v>
      </c>
      <c r="F396" s="39" t="s">
        <v>1917</v>
      </c>
      <c r="G396" s="120" t="s">
        <v>1918</v>
      </c>
      <c r="H396" s="90" t="s">
        <v>1919</v>
      </c>
      <c r="I396" s="79">
        <v>42793</v>
      </c>
      <c r="J396" s="50">
        <v>3531010.91</v>
      </c>
      <c r="K396" s="97">
        <v>3236924.56</v>
      </c>
      <c r="L396" s="51"/>
      <c r="M396" s="46" t="s">
        <v>1792</v>
      </c>
      <c r="N396" s="48" t="s">
        <v>513</v>
      </c>
      <c r="O396" s="92" t="s">
        <v>801</v>
      </c>
      <c r="P396" s="52">
        <v>3308004490</v>
      </c>
      <c r="Q396" s="53" t="s">
        <v>1920</v>
      </c>
      <c r="R396" s="58" t="str">
        <f>HYPERLINK("https://drive.google.com/open?id=1X1ecuit9EvBZflF9Vs6a36W-EJOsT6gG","Договор")</f>
        <v>Договор</v>
      </c>
      <c r="S396" s="46"/>
      <c r="T396" s="46"/>
      <c r="U396" s="47"/>
    </row>
    <row r="397" spans="1:21" ht="78.75">
      <c r="A397" s="46">
        <v>384</v>
      </c>
      <c r="B397" s="46" t="s">
        <v>20</v>
      </c>
      <c r="C397" s="46" t="s">
        <v>504</v>
      </c>
      <c r="D397" s="46" t="s">
        <v>21</v>
      </c>
      <c r="E397" s="118" t="s">
        <v>1921</v>
      </c>
      <c r="F397" s="39" t="s">
        <v>1922</v>
      </c>
      <c r="G397" s="120" t="s">
        <v>1923</v>
      </c>
      <c r="H397" s="90" t="s">
        <v>1924</v>
      </c>
      <c r="I397" s="79">
        <v>42793</v>
      </c>
      <c r="J397" s="50">
        <v>1047455.33</v>
      </c>
      <c r="K397" s="97">
        <v>963520.46</v>
      </c>
      <c r="L397" s="51"/>
      <c r="M397" s="48">
        <v>43348</v>
      </c>
      <c r="N397" s="48" t="s">
        <v>513</v>
      </c>
      <c r="O397" s="92" t="s">
        <v>801</v>
      </c>
      <c r="P397" s="52">
        <v>3308004490</v>
      </c>
      <c r="Q397" s="53" t="s">
        <v>1925</v>
      </c>
      <c r="R397" s="58" t="str">
        <f>HYPERLINK("https://drive.google.com/open?id=1gv4rWta4VgJBSIiWLo_jLX9EdWhDND8V","Договор")</f>
        <v>Договор</v>
      </c>
      <c r="S397" s="46"/>
      <c r="T397" s="46"/>
      <c r="U397" s="47"/>
    </row>
    <row r="398" spans="1:21" ht="78.75">
      <c r="A398" s="46">
        <v>385</v>
      </c>
      <c r="B398" s="46" t="s">
        <v>20</v>
      </c>
      <c r="C398" s="46" t="s">
        <v>504</v>
      </c>
      <c r="D398" s="46" t="s">
        <v>21</v>
      </c>
      <c r="E398" s="118" t="s">
        <v>1926</v>
      </c>
      <c r="F398" s="39" t="s">
        <v>1917</v>
      </c>
      <c r="G398" s="120" t="s">
        <v>1927</v>
      </c>
      <c r="H398" s="49" t="s">
        <v>1928</v>
      </c>
      <c r="I398" s="48">
        <v>42793</v>
      </c>
      <c r="J398" s="50">
        <v>2654456.7200000002</v>
      </c>
      <c r="K398" s="50">
        <v>2438392.59</v>
      </c>
      <c r="L398" s="51"/>
      <c r="M398" s="48">
        <v>43344</v>
      </c>
      <c r="N398" s="48" t="s">
        <v>120</v>
      </c>
      <c r="O398" s="46" t="s">
        <v>121</v>
      </c>
      <c r="P398" s="52">
        <v>3305713379</v>
      </c>
      <c r="Q398" s="53" t="s">
        <v>1929</v>
      </c>
      <c r="R398" s="58" t="str">
        <f>HYPERLINK("https://drive.google.com/open?id=1QanpQV94QBGYYlYgwxbaBiMKXKKL9AIG","Договор")</f>
        <v>Договор</v>
      </c>
      <c r="S398" s="54"/>
      <c r="T398" s="54"/>
      <c r="U398" s="54"/>
    </row>
    <row r="399" spans="1:21" ht="78.75">
      <c r="A399" s="55">
        <v>386</v>
      </c>
      <c r="B399" s="53" t="s">
        <v>20</v>
      </c>
      <c r="C399" s="46" t="s">
        <v>504</v>
      </c>
      <c r="D399" s="46" t="s">
        <v>21</v>
      </c>
      <c r="E399" s="118" t="s">
        <v>1930</v>
      </c>
      <c r="F399" s="39" t="s">
        <v>1917</v>
      </c>
      <c r="G399" s="120" t="s">
        <v>1931</v>
      </c>
      <c r="H399" s="90" t="s">
        <v>1932</v>
      </c>
      <c r="I399" s="79">
        <v>42885</v>
      </c>
      <c r="J399" s="50">
        <v>972522.39</v>
      </c>
      <c r="K399" s="50">
        <v>895017.66</v>
      </c>
      <c r="L399" s="85"/>
      <c r="M399" s="87">
        <v>43343</v>
      </c>
      <c r="N399" s="53" t="s">
        <v>631</v>
      </c>
      <c r="O399" s="53" t="s">
        <v>1573</v>
      </c>
      <c r="P399" s="55">
        <v>3327118743</v>
      </c>
      <c r="Q399" s="53" t="s">
        <v>1933</v>
      </c>
      <c r="R399" s="58" t="str">
        <f>HYPERLINK("https://drive.google.com/open?id=11HGoqMaaIr6rYWvDVV09KmAncgYsg1he","Договор")</f>
        <v>Договор</v>
      </c>
      <c r="S399" s="22" t="str">
        <f>HYPERLINK("https://drive.google.com/open?id=1Z-n5q6YtAFLyjW_jzFQ6XYoKRgpAjBGg","Документы")</f>
        <v>Документы</v>
      </c>
      <c r="T399" s="55"/>
      <c r="U399" s="55"/>
    </row>
    <row r="400" spans="1:21" ht="78.75">
      <c r="A400" s="46">
        <v>387</v>
      </c>
      <c r="B400" s="46" t="s">
        <v>20</v>
      </c>
      <c r="C400" s="46" t="s">
        <v>504</v>
      </c>
      <c r="D400" s="46" t="s">
        <v>21</v>
      </c>
      <c r="E400" s="117" t="s">
        <v>1934</v>
      </c>
      <c r="F400" s="48" t="s">
        <v>1935</v>
      </c>
      <c r="G400" s="120" t="s">
        <v>1936</v>
      </c>
      <c r="H400" s="90" t="s">
        <v>1937</v>
      </c>
      <c r="I400" s="48">
        <v>42779</v>
      </c>
      <c r="J400" s="50">
        <v>70670.149999999994</v>
      </c>
      <c r="K400" s="97">
        <v>59889.96</v>
      </c>
      <c r="L400" s="51"/>
      <c r="M400" s="48" t="s">
        <v>100</v>
      </c>
      <c r="N400" s="48" t="s">
        <v>173</v>
      </c>
      <c r="O400" s="46" t="s">
        <v>174</v>
      </c>
      <c r="P400" s="52">
        <v>4345265453</v>
      </c>
      <c r="Q400" s="53" t="s">
        <v>1938</v>
      </c>
      <c r="R400" s="58" t="str">
        <f>HYPERLINK("https://drive.google.com/open?id=15iiJwg-ufs9FRaJIawNMGIppfyfiXevZ","Договор")</f>
        <v>Договор</v>
      </c>
      <c r="S400" s="46"/>
      <c r="T400" s="46"/>
      <c r="U400" s="54"/>
    </row>
    <row r="401" spans="1:21" ht="126">
      <c r="A401" s="46">
        <v>388</v>
      </c>
      <c r="B401" s="46" t="s">
        <v>20</v>
      </c>
      <c r="C401" s="46" t="s">
        <v>504</v>
      </c>
      <c r="D401" s="46" t="s">
        <v>21</v>
      </c>
      <c r="E401" s="117" t="s">
        <v>1939</v>
      </c>
      <c r="F401" s="39" t="s">
        <v>1922</v>
      </c>
      <c r="G401" s="120" t="s">
        <v>1940</v>
      </c>
      <c r="H401" s="48" t="s">
        <v>1941</v>
      </c>
      <c r="I401" s="48">
        <v>42884</v>
      </c>
      <c r="J401" s="50">
        <v>3806258.18</v>
      </c>
      <c r="K401" s="50">
        <v>3510685.61</v>
      </c>
      <c r="L401" s="51"/>
      <c r="M401" s="39">
        <v>43400</v>
      </c>
      <c r="N401" s="48" t="s">
        <v>1448</v>
      </c>
      <c r="O401" s="46" t="s">
        <v>1449</v>
      </c>
      <c r="P401" s="52">
        <v>3329054260</v>
      </c>
      <c r="Q401" s="53" t="s">
        <v>1942</v>
      </c>
      <c r="R401" s="58" t="str">
        <f>HYPERLINK("https://drive.google.com/open?id=1NBrUlBLSGia9j3EB_YaX334l1foiA-0p","Договор")</f>
        <v>Договор</v>
      </c>
      <c r="S401" s="54"/>
      <c r="T401" s="54"/>
      <c r="U401" s="54"/>
    </row>
    <row r="402" spans="1:21" ht="94.5">
      <c r="A402" s="46">
        <v>389</v>
      </c>
      <c r="B402" s="46" t="s">
        <v>20</v>
      </c>
      <c r="C402" s="46" t="s">
        <v>504</v>
      </c>
      <c r="D402" s="46" t="s">
        <v>21</v>
      </c>
      <c r="E402" s="117" t="s">
        <v>1943</v>
      </c>
      <c r="F402" s="39" t="s">
        <v>1944</v>
      </c>
      <c r="G402" s="120" t="s">
        <v>1945</v>
      </c>
      <c r="H402" s="48" t="s">
        <v>1946</v>
      </c>
      <c r="I402" s="48">
        <v>42671</v>
      </c>
      <c r="J402" s="50">
        <v>3927032.28</v>
      </c>
      <c r="K402" s="50">
        <v>3623056</v>
      </c>
      <c r="L402" s="51"/>
      <c r="M402" s="48">
        <v>43407</v>
      </c>
      <c r="N402" s="48" t="s">
        <v>1368</v>
      </c>
      <c r="O402" s="46" t="s">
        <v>1369</v>
      </c>
      <c r="P402" s="52">
        <v>7721772905</v>
      </c>
      <c r="Q402" s="53" t="s">
        <v>1947</v>
      </c>
      <c r="R402" s="58" t="str">
        <f>HYPERLINK("https://drive.google.com/open?id=1lVsGKD4H1e-PiA6qT-hkhvyjTjcWW8-f","Договор")</f>
        <v>Договор</v>
      </c>
      <c r="S402" s="54"/>
      <c r="T402" s="54"/>
      <c r="U402" s="54"/>
    </row>
    <row r="403" spans="1:21" ht="126">
      <c r="A403" s="46">
        <v>390</v>
      </c>
      <c r="B403" s="46" t="s">
        <v>20</v>
      </c>
      <c r="C403" s="46" t="s">
        <v>504</v>
      </c>
      <c r="D403" s="46" t="s">
        <v>21</v>
      </c>
      <c r="E403" s="117" t="s">
        <v>1948</v>
      </c>
      <c r="F403" s="39" t="s">
        <v>1922</v>
      </c>
      <c r="G403" s="120" t="s">
        <v>1949</v>
      </c>
      <c r="H403" s="48" t="s">
        <v>1950</v>
      </c>
      <c r="I403" s="48">
        <v>42884</v>
      </c>
      <c r="J403" s="50">
        <v>3007787.87</v>
      </c>
      <c r="K403" s="50">
        <v>2689480.41</v>
      </c>
      <c r="L403" s="51"/>
      <c r="M403" s="39">
        <v>43416</v>
      </c>
      <c r="N403" s="48" t="s">
        <v>1448</v>
      </c>
      <c r="O403" s="46" t="s">
        <v>1449</v>
      </c>
      <c r="P403" s="52">
        <v>3329054260</v>
      </c>
      <c r="Q403" s="53" t="s">
        <v>1951</v>
      </c>
      <c r="R403" s="58" t="str">
        <f>HYPERLINK("https://drive.google.com/open?id=11gDKZ7AhZsYoChTMNCA0_05bD7t-lNZ0","Договор")</f>
        <v>Договор</v>
      </c>
      <c r="S403" s="54"/>
      <c r="T403" s="54"/>
      <c r="U403" s="54"/>
    </row>
    <row r="404" spans="1:21" ht="78.75">
      <c r="A404" s="46">
        <v>391</v>
      </c>
      <c r="B404" s="46" t="s">
        <v>20</v>
      </c>
      <c r="C404" s="46" t="s">
        <v>504</v>
      </c>
      <c r="D404" s="46" t="s">
        <v>21</v>
      </c>
      <c r="E404" s="117" t="s">
        <v>1952</v>
      </c>
      <c r="F404" s="39" t="s">
        <v>1953</v>
      </c>
      <c r="G404" s="120" t="s">
        <v>1954</v>
      </c>
      <c r="H404" s="90" t="s">
        <v>1955</v>
      </c>
      <c r="I404" s="48">
        <v>42779</v>
      </c>
      <c r="J404" s="50">
        <v>305925.09000000003</v>
      </c>
      <c r="K404" s="50">
        <v>305925.09000000003</v>
      </c>
      <c r="L404" s="51"/>
      <c r="M404" s="48" t="s">
        <v>1276</v>
      </c>
      <c r="N404" s="46" t="s">
        <v>494</v>
      </c>
      <c r="O404" s="46" t="s">
        <v>495</v>
      </c>
      <c r="P404" s="56">
        <v>3328401520</v>
      </c>
      <c r="Q404" s="46"/>
      <c r="R404" s="58" t="str">
        <f>HYPERLINK("https://drive.google.com/open?id=1MQUZmuXt2QuQV-3ftodGJBY4HTrmAtex","Договор")</f>
        <v>Договор</v>
      </c>
      <c r="S404" s="22" t="str">
        <f>HYPERLINK("https://drive.google.com/open?id=1mD0rTWbVioGNopxm48Adtp9yjjhpzRAV","Документы")</f>
        <v>Документы</v>
      </c>
      <c r="T404" s="46"/>
      <c r="U404" s="54"/>
    </row>
    <row r="405" spans="1:21" ht="78.75">
      <c r="A405" s="46">
        <v>392</v>
      </c>
      <c r="B405" s="46" t="s">
        <v>20</v>
      </c>
      <c r="C405" s="46" t="s">
        <v>504</v>
      </c>
      <c r="D405" s="46" t="s">
        <v>21</v>
      </c>
      <c r="E405" s="117" t="s">
        <v>1956</v>
      </c>
      <c r="F405" s="48" t="s">
        <v>1957</v>
      </c>
      <c r="G405" s="120" t="s">
        <v>1958</v>
      </c>
      <c r="H405" s="90" t="s">
        <v>1242</v>
      </c>
      <c r="I405" s="48">
        <v>42779</v>
      </c>
      <c r="J405" s="50">
        <v>84967.17</v>
      </c>
      <c r="K405" s="97">
        <v>69672.929999999993</v>
      </c>
      <c r="L405" s="51"/>
      <c r="M405" s="48" t="s">
        <v>100</v>
      </c>
      <c r="N405" s="48" t="s">
        <v>173</v>
      </c>
      <c r="O405" s="46" t="s">
        <v>174</v>
      </c>
      <c r="P405" s="52">
        <v>4345265453</v>
      </c>
      <c r="Q405" s="53" t="s">
        <v>1959</v>
      </c>
      <c r="R405" s="58" t="str">
        <f>HYPERLINK("https://drive.google.com/open?id=1yefeX-8GXa6En0kwDE6IrhXuVccNUGmJ","Договор")</f>
        <v>Договор</v>
      </c>
      <c r="S405" s="46"/>
      <c r="T405" s="46"/>
      <c r="U405" s="5"/>
    </row>
    <row r="406" spans="1:21" ht="78.75">
      <c r="A406" s="46">
        <v>393</v>
      </c>
      <c r="B406" s="46" t="s">
        <v>20</v>
      </c>
      <c r="C406" s="46" t="s">
        <v>504</v>
      </c>
      <c r="D406" s="46" t="s">
        <v>21</v>
      </c>
      <c r="E406" s="117" t="s">
        <v>1960</v>
      </c>
      <c r="F406" s="48" t="s">
        <v>1961</v>
      </c>
      <c r="G406" s="120" t="s">
        <v>1962</v>
      </c>
      <c r="H406" s="90" t="s">
        <v>1242</v>
      </c>
      <c r="I406" s="48">
        <v>42779</v>
      </c>
      <c r="J406" s="50">
        <v>58088.32</v>
      </c>
      <c r="K406" s="97">
        <v>49227.39</v>
      </c>
      <c r="L406" s="51"/>
      <c r="M406" s="48" t="s">
        <v>1582</v>
      </c>
      <c r="N406" s="48" t="s">
        <v>173</v>
      </c>
      <c r="O406" s="46" t="s">
        <v>174</v>
      </c>
      <c r="P406" s="52">
        <v>4345265453</v>
      </c>
      <c r="Q406" s="53" t="s">
        <v>1963</v>
      </c>
      <c r="R406" s="58" t="str">
        <f>HYPERLINK("https://drive.google.com/open?id=1oa_NpQcUDQXvBtlUNLMuSp6xOQpxkT-P","Договор")</f>
        <v>Договор</v>
      </c>
      <c r="S406" s="46"/>
      <c r="T406" s="46"/>
      <c r="U406" s="5"/>
    </row>
    <row r="407" spans="1:21" ht="126">
      <c r="A407" s="46">
        <v>394</v>
      </c>
      <c r="B407" s="46" t="s">
        <v>20</v>
      </c>
      <c r="C407" s="46" t="s">
        <v>504</v>
      </c>
      <c r="D407" s="46" t="s">
        <v>21</v>
      </c>
      <c r="E407" s="117" t="s">
        <v>1964</v>
      </c>
      <c r="F407" s="48" t="s">
        <v>1965</v>
      </c>
      <c r="G407" s="120" t="s">
        <v>1966</v>
      </c>
      <c r="H407" s="49" t="s">
        <v>1967</v>
      </c>
      <c r="I407" s="48">
        <v>42793</v>
      </c>
      <c r="J407" s="50">
        <v>1021832.22</v>
      </c>
      <c r="K407" s="50">
        <v>1021832.22</v>
      </c>
      <c r="L407" s="51">
        <v>0</v>
      </c>
      <c r="M407" s="48">
        <v>43441</v>
      </c>
      <c r="N407" s="48" t="s">
        <v>1200</v>
      </c>
      <c r="O407" s="46" t="s">
        <v>1201</v>
      </c>
      <c r="P407" s="52">
        <v>3305003918</v>
      </c>
      <c r="Q407" s="46"/>
      <c r="R407" s="58" t="str">
        <f>HYPERLINK("https://drive.google.com/open?id=1Cd57cukrQ61PYESp1RuwadJX0sD6lJmG","Договор")</f>
        <v>Договор</v>
      </c>
      <c r="S407" s="46"/>
      <c r="T407" s="46"/>
      <c r="U407" s="101"/>
    </row>
    <row r="408" spans="1:21" ht="126">
      <c r="A408" s="46">
        <v>395</v>
      </c>
      <c r="B408" s="46" t="s">
        <v>20</v>
      </c>
      <c r="C408" s="46" t="s">
        <v>504</v>
      </c>
      <c r="D408" s="46" t="s">
        <v>21</v>
      </c>
      <c r="E408" s="117" t="s">
        <v>1968</v>
      </c>
      <c r="F408" s="39" t="s">
        <v>1969</v>
      </c>
      <c r="G408" s="120" t="s">
        <v>1970</v>
      </c>
      <c r="H408" s="48" t="s">
        <v>1971</v>
      </c>
      <c r="I408" s="48">
        <v>42884</v>
      </c>
      <c r="J408" s="50">
        <v>4264800.88</v>
      </c>
      <c r="K408" s="50">
        <v>3925982.68</v>
      </c>
      <c r="L408" s="51"/>
      <c r="M408" s="39">
        <v>43419</v>
      </c>
      <c r="N408" s="48" t="s">
        <v>1448</v>
      </c>
      <c r="O408" s="46" t="s">
        <v>1449</v>
      </c>
      <c r="P408" s="52">
        <v>3329054260</v>
      </c>
      <c r="Q408" s="53" t="s">
        <v>1972</v>
      </c>
      <c r="R408" s="58" t="str">
        <f>HYPERLINK("https://drive.google.com/open?id=19n4gjzymNfs4ZywrNMDl_K-NTFVfawiF","Договор")</f>
        <v>Договор</v>
      </c>
      <c r="S408" s="54"/>
      <c r="T408" s="54"/>
      <c r="U408" s="54"/>
    </row>
    <row r="409" spans="1:21" ht="63">
      <c r="A409" s="46">
        <v>396</v>
      </c>
      <c r="B409" s="46" t="s">
        <v>20</v>
      </c>
      <c r="C409" s="46" t="s">
        <v>504</v>
      </c>
      <c r="D409" s="46" t="s">
        <v>21</v>
      </c>
      <c r="E409" s="117" t="s">
        <v>1973</v>
      </c>
      <c r="F409" s="48" t="s">
        <v>1974</v>
      </c>
      <c r="G409" s="120" t="s">
        <v>1975</v>
      </c>
      <c r="H409" s="49" t="s">
        <v>1976</v>
      </c>
      <c r="I409" s="48">
        <v>42793</v>
      </c>
      <c r="J409" s="50">
        <v>6712968.7599999998</v>
      </c>
      <c r="K409" s="50">
        <v>6712968.7599999998</v>
      </c>
      <c r="L409" s="51">
        <v>0</v>
      </c>
      <c r="M409" s="48">
        <v>43615</v>
      </c>
      <c r="N409" s="48" t="s">
        <v>1200</v>
      </c>
      <c r="O409" s="46" t="s">
        <v>1201</v>
      </c>
      <c r="P409" s="52">
        <v>3305003918</v>
      </c>
      <c r="Q409" s="46"/>
      <c r="R409" s="58" t="str">
        <f>HYPERLINK("https://drive.google.com/open?id=19yTNUo1xCOO8OEQcATiWYkVcxVkBDlpA","Договор")</f>
        <v>Договор</v>
      </c>
      <c r="S409" s="46"/>
      <c r="T409" s="46"/>
      <c r="U409" s="47"/>
    </row>
    <row r="410" spans="1:21" ht="63">
      <c r="A410" s="46">
        <v>397</v>
      </c>
      <c r="B410" s="46" t="s">
        <v>20</v>
      </c>
      <c r="C410" s="46" t="s">
        <v>504</v>
      </c>
      <c r="D410" s="46" t="s">
        <v>21</v>
      </c>
      <c r="E410" s="117" t="s">
        <v>1977</v>
      </c>
      <c r="F410" s="48" t="s">
        <v>1978</v>
      </c>
      <c r="G410" s="120" t="s">
        <v>1979</v>
      </c>
      <c r="H410" s="49" t="s">
        <v>1980</v>
      </c>
      <c r="I410" s="48">
        <v>42793</v>
      </c>
      <c r="J410" s="50">
        <v>8099327.9900000002</v>
      </c>
      <c r="K410" s="50">
        <v>8099327.9900000002</v>
      </c>
      <c r="L410" s="51">
        <v>0</v>
      </c>
      <c r="M410" s="48">
        <v>43273</v>
      </c>
      <c r="N410" s="48" t="s">
        <v>1200</v>
      </c>
      <c r="O410" s="46" t="s">
        <v>1201</v>
      </c>
      <c r="P410" s="52">
        <v>3305003918</v>
      </c>
      <c r="Q410" s="46"/>
      <c r="R410" s="58" t="str">
        <f>HYPERLINK("https://drive.google.com/open?id=1Zsfy6rw3itqB79rA7NPf9mDFNiOEgOa8","Договор")</f>
        <v>Договор</v>
      </c>
      <c r="S410" s="46"/>
      <c r="T410" s="46"/>
      <c r="U410" s="47"/>
    </row>
    <row r="411" spans="1:21" ht="63">
      <c r="A411" s="46">
        <v>398</v>
      </c>
      <c r="B411" s="46" t="s">
        <v>20</v>
      </c>
      <c r="C411" s="46" t="s">
        <v>504</v>
      </c>
      <c r="D411" s="46" t="s">
        <v>21</v>
      </c>
      <c r="E411" s="117" t="s">
        <v>1981</v>
      </c>
      <c r="F411" s="48" t="s">
        <v>1982</v>
      </c>
      <c r="G411" s="120" t="s">
        <v>1983</v>
      </c>
      <c r="H411" s="49" t="s">
        <v>1984</v>
      </c>
      <c r="I411" s="39">
        <v>43287</v>
      </c>
      <c r="J411" s="50">
        <v>2646304.4500000002</v>
      </c>
      <c r="K411" s="50">
        <v>2646304.4500000002</v>
      </c>
      <c r="L411" s="51">
        <v>0</v>
      </c>
      <c r="M411" s="48">
        <v>43373</v>
      </c>
      <c r="N411" s="48" t="s">
        <v>1985</v>
      </c>
      <c r="O411" s="46" t="s">
        <v>1986</v>
      </c>
      <c r="P411" s="52">
        <v>721059709</v>
      </c>
      <c r="Q411" s="46"/>
      <c r="R411" s="58" t="str">
        <f>HYPERLINK("https://drive.google.com/open?id=1uo-i2ijSehgtldpVHxI3p93-07NN6r-u","Договор")</f>
        <v>Договор</v>
      </c>
      <c r="S411" s="46"/>
      <c r="T411" s="46"/>
      <c r="U411" s="47"/>
    </row>
    <row r="412" spans="1:21" ht="63">
      <c r="A412" s="46">
        <v>399</v>
      </c>
      <c r="B412" s="46" t="s">
        <v>20</v>
      </c>
      <c r="C412" s="46" t="s">
        <v>504</v>
      </c>
      <c r="D412" s="46" t="s">
        <v>21</v>
      </c>
      <c r="E412" s="117" t="s">
        <v>1987</v>
      </c>
      <c r="F412" s="48" t="s">
        <v>1988</v>
      </c>
      <c r="G412" s="120" t="s">
        <v>1989</v>
      </c>
      <c r="H412" s="49" t="s">
        <v>1990</v>
      </c>
      <c r="I412" s="39">
        <v>43287</v>
      </c>
      <c r="J412" s="50">
        <v>3715735.43</v>
      </c>
      <c r="K412" s="50">
        <v>3715735.43</v>
      </c>
      <c r="L412" s="51">
        <v>0</v>
      </c>
      <c r="M412" s="48">
        <v>43385</v>
      </c>
      <c r="N412" s="48" t="s">
        <v>1985</v>
      </c>
      <c r="O412" s="46" t="s">
        <v>1986</v>
      </c>
      <c r="P412" s="52">
        <v>721059709</v>
      </c>
      <c r="Q412" s="46"/>
      <c r="R412" s="58" t="str">
        <f>HYPERLINK("https://drive.google.com/open?id=1_wCW8EiFwuVywetLjgnaKR7mtFTLu1Qc","Договор")</f>
        <v>Договор</v>
      </c>
      <c r="S412" s="46"/>
      <c r="T412" s="46"/>
      <c r="U412" s="47"/>
    </row>
    <row r="413" spans="1:21" ht="63">
      <c r="A413" s="46">
        <v>400</v>
      </c>
      <c r="B413" s="46" t="s">
        <v>20</v>
      </c>
      <c r="C413" s="46" t="s">
        <v>504</v>
      </c>
      <c r="D413" s="46" t="s">
        <v>21</v>
      </c>
      <c r="E413" s="117" t="s">
        <v>1991</v>
      </c>
      <c r="F413" s="48" t="s">
        <v>1992</v>
      </c>
      <c r="G413" s="120" t="s">
        <v>1993</v>
      </c>
      <c r="H413" s="49" t="s">
        <v>1994</v>
      </c>
      <c r="I413" s="39">
        <v>43287</v>
      </c>
      <c r="J413" s="50">
        <v>3891569.71</v>
      </c>
      <c r="K413" s="50">
        <v>3891569.71</v>
      </c>
      <c r="L413" s="51">
        <v>0</v>
      </c>
      <c r="M413" s="48">
        <v>43391</v>
      </c>
      <c r="N413" s="48" t="s">
        <v>1985</v>
      </c>
      <c r="O413" s="46" t="s">
        <v>1986</v>
      </c>
      <c r="P413" s="52">
        <v>721059709</v>
      </c>
      <c r="Q413" s="46"/>
      <c r="R413" s="58" t="str">
        <f>HYPERLINK("https://drive.google.com/open?id=12w_GMnNTiZaHYY4JzOts_B8caLmwKkmJ","Договор")</f>
        <v>Договор</v>
      </c>
      <c r="S413" s="46"/>
      <c r="T413" s="46"/>
      <c r="U413" s="47"/>
    </row>
    <row r="414" spans="1:21" ht="78.75">
      <c r="A414" s="46">
        <v>401</v>
      </c>
      <c r="B414" s="46" t="s">
        <v>20</v>
      </c>
      <c r="C414" s="46" t="s">
        <v>504</v>
      </c>
      <c r="D414" s="60" t="s">
        <v>21</v>
      </c>
      <c r="E414" s="118" t="s">
        <v>1995</v>
      </c>
      <c r="F414" s="39" t="s">
        <v>1969</v>
      </c>
      <c r="G414" s="120" t="s">
        <v>1996</v>
      </c>
      <c r="H414" s="61" t="s">
        <v>1997</v>
      </c>
      <c r="I414" s="48">
        <v>42671</v>
      </c>
      <c r="J414" s="50">
        <v>2028943.51</v>
      </c>
      <c r="K414" s="50">
        <v>2028943.51</v>
      </c>
      <c r="L414" s="51">
        <v>0</v>
      </c>
      <c r="M414" s="48">
        <v>43371</v>
      </c>
      <c r="N414" s="48" t="s">
        <v>53</v>
      </c>
      <c r="O414" s="46" t="s">
        <v>54</v>
      </c>
      <c r="P414" s="52">
        <v>3329058867</v>
      </c>
      <c r="Q414" s="53"/>
      <c r="R414" s="58" t="str">
        <f>HYPERLINK("https://drive.google.com/open?id=14TzK8C8iaPAI1z9kjXXWubsGp2jYEr94","Договор")</f>
        <v>Договор</v>
      </c>
      <c r="S414" s="54"/>
      <c r="T414" s="54"/>
      <c r="U414" s="54"/>
    </row>
    <row r="415" spans="1:21" ht="78.75">
      <c r="A415" s="46">
        <v>402</v>
      </c>
      <c r="B415" s="46" t="s">
        <v>20</v>
      </c>
      <c r="C415" s="46" t="s">
        <v>504</v>
      </c>
      <c r="D415" s="60" t="s">
        <v>21</v>
      </c>
      <c r="E415" s="118" t="s">
        <v>1998</v>
      </c>
      <c r="F415" s="39" t="s">
        <v>1969</v>
      </c>
      <c r="G415" s="120" t="s">
        <v>1999</v>
      </c>
      <c r="H415" s="61" t="s">
        <v>2000</v>
      </c>
      <c r="I415" s="48">
        <v>42671</v>
      </c>
      <c r="J415" s="50">
        <v>4513104.37</v>
      </c>
      <c r="K415" s="50">
        <v>4513104.37</v>
      </c>
      <c r="L415" s="51">
        <v>0</v>
      </c>
      <c r="M415" s="48">
        <v>43454</v>
      </c>
      <c r="N415" s="48" t="s">
        <v>53</v>
      </c>
      <c r="O415" s="46" t="s">
        <v>54</v>
      </c>
      <c r="P415" s="52">
        <v>3329058867</v>
      </c>
      <c r="Q415" s="53"/>
      <c r="R415" s="58" t="str">
        <f>HYPERLINK("https://drive.google.com/open?id=1sprSXtH4OdRDQkOe2iXB6x1V19POkBh4","Договор")</f>
        <v>Договор</v>
      </c>
      <c r="S415" s="54"/>
      <c r="T415" s="54"/>
      <c r="U415" s="54"/>
    </row>
    <row r="416" spans="1:21" ht="78.75">
      <c r="A416" s="46">
        <v>403</v>
      </c>
      <c r="B416" s="46" t="s">
        <v>20</v>
      </c>
      <c r="C416" s="46" t="s">
        <v>504</v>
      </c>
      <c r="D416" s="60" t="s">
        <v>21</v>
      </c>
      <c r="E416" s="118" t="s">
        <v>2001</v>
      </c>
      <c r="F416" s="39" t="s">
        <v>2002</v>
      </c>
      <c r="G416" s="120" t="s">
        <v>2004</v>
      </c>
      <c r="H416" s="61" t="s">
        <v>2003</v>
      </c>
      <c r="I416" s="48">
        <v>42671</v>
      </c>
      <c r="J416" s="50">
        <v>1984651.7</v>
      </c>
      <c r="K416" s="50">
        <v>1984651.7</v>
      </c>
      <c r="L416" s="51">
        <v>0</v>
      </c>
      <c r="M416" s="48">
        <v>43375</v>
      </c>
      <c r="N416" s="48" t="s">
        <v>53</v>
      </c>
      <c r="O416" s="46" t="s">
        <v>54</v>
      </c>
      <c r="P416" s="52">
        <v>3329058867</v>
      </c>
      <c r="Q416" s="53"/>
      <c r="R416" s="58" t="str">
        <f>HYPERLINK("https://drive.google.com/open?id=19n4EIWg5RQLsSeQvbyp-F5gmKevjLvbD","Договор")</f>
        <v>Договор</v>
      </c>
      <c r="S416" s="54"/>
      <c r="T416" s="54"/>
      <c r="U416" s="54"/>
    </row>
    <row r="417" spans="1:21" ht="78.75">
      <c r="A417" s="46">
        <v>404</v>
      </c>
      <c r="B417" s="46" t="s">
        <v>20</v>
      </c>
      <c r="C417" s="46" t="s">
        <v>504</v>
      </c>
      <c r="D417" s="60" t="s">
        <v>21</v>
      </c>
      <c r="E417" s="118" t="s">
        <v>2005</v>
      </c>
      <c r="F417" s="39" t="s">
        <v>2002</v>
      </c>
      <c r="G417" s="120" t="s">
        <v>2006</v>
      </c>
      <c r="H417" s="91" t="s">
        <v>2007</v>
      </c>
      <c r="I417" s="79">
        <v>42970</v>
      </c>
      <c r="J417" s="50">
        <v>20506610.760000002</v>
      </c>
      <c r="K417" s="50">
        <v>20404077.710000001</v>
      </c>
      <c r="L417" s="51"/>
      <c r="M417" s="48">
        <v>43343</v>
      </c>
      <c r="N417" s="48" t="s">
        <v>829</v>
      </c>
      <c r="O417" s="92" t="s">
        <v>830</v>
      </c>
      <c r="P417" s="52">
        <v>7703761192</v>
      </c>
      <c r="Q417" s="46"/>
      <c r="R417" s="58" t="str">
        <f>HYPERLINK("https://drive.google.com/open?id=1trAZh2CSa7eVrc-FwJ_wzb5DrQ0X41qb","Договор")</f>
        <v>Договор</v>
      </c>
      <c r="S417" s="46"/>
      <c r="T417" s="46"/>
      <c r="U417" s="47"/>
    </row>
    <row r="418" spans="1:21" ht="63">
      <c r="A418" s="46">
        <v>405</v>
      </c>
      <c r="B418" s="46" t="s">
        <v>20</v>
      </c>
      <c r="C418" s="46" t="s">
        <v>504</v>
      </c>
      <c r="D418" s="46" t="s">
        <v>21</v>
      </c>
      <c r="E418" s="117" t="s">
        <v>2008</v>
      </c>
      <c r="F418" s="48" t="s">
        <v>2009</v>
      </c>
      <c r="G418" s="120" t="s">
        <v>2010</v>
      </c>
      <c r="H418" s="49" t="s">
        <v>2011</v>
      </c>
      <c r="I418" s="39">
        <v>43287</v>
      </c>
      <c r="J418" s="50">
        <v>3392727.45</v>
      </c>
      <c r="K418" s="50">
        <v>3392727.45</v>
      </c>
      <c r="L418" s="51">
        <v>0</v>
      </c>
      <c r="M418" s="48">
        <v>43393</v>
      </c>
      <c r="N418" s="48" t="s">
        <v>1985</v>
      </c>
      <c r="O418" s="46" t="s">
        <v>1986</v>
      </c>
      <c r="P418" s="52">
        <v>721059709</v>
      </c>
      <c r="Q418" s="46"/>
      <c r="R418" s="58" t="str">
        <f>HYPERLINK("https://drive.google.com/open?id=1JPEowgBRQ2EpTIBAsoaLkwLWE9D2cygH","Договор")</f>
        <v>Договор</v>
      </c>
      <c r="S418" s="46"/>
      <c r="T418" s="46"/>
      <c r="U418" s="47"/>
    </row>
    <row r="419" spans="1:21" ht="63">
      <c r="A419" s="46">
        <v>406</v>
      </c>
      <c r="B419" s="46" t="s">
        <v>20</v>
      </c>
      <c r="C419" s="46" t="s">
        <v>504</v>
      </c>
      <c r="D419" s="46" t="s">
        <v>21</v>
      </c>
      <c r="E419" s="117" t="s">
        <v>2012</v>
      </c>
      <c r="F419" s="48" t="s">
        <v>2013</v>
      </c>
      <c r="G419" s="120" t="s">
        <v>2014</v>
      </c>
      <c r="H419" s="49" t="s">
        <v>2015</v>
      </c>
      <c r="I419" s="39">
        <v>43287</v>
      </c>
      <c r="J419" s="50">
        <v>2906843.41</v>
      </c>
      <c r="K419" s="50">
        <v>2906843.41</v>
      </c>
      <c r="L419" s="51">
        <v>0</v>
      </c>
      <c r="M419" s="48">
        <v>43378</v>
      </c>
      <c r="N419" s="48" t="s">
        <v>1985</v>
      </c>
      <c r="O419" s="46" t="s">
        <v>1986</v>
      </c>
      <c r="P419" s="52">
        <v>721059709</v>
      </c>
      <c r="Q419" s="46"/>
      <c r="R419" s="58" t="str">
        <f>HYPERLINK("https://drive.google.com/open?id=1ZalTRr0NotdzTcO_n1mh8g3f5M11ngFF","Договор")</f>
        <v>Договор</v>
      </c>
      <c r="S419" s="46"/>
      <c r="T419" s="46"/>
      <c r="U419" s="47"/>
    </row>
    <row r="420" spans="1:21" ht="63">
      <c r="A420" s="46">
        <v>407</v>
      </c>
      <c r="B420" s="46" t="s">
        <v>20</v>
      </c>
      <c r="C420" s="46" t="s">
        <v>504</v>
      </c>
      <c r="D420" s="46" t="s">
        <v>21</v>
      </c>
      <c r="E420" s="117" t="s">
        <v>2016</v>
      </c>
      <c r="F420" s="48" t="s">
        <v>2017</v>
      </c>
      <c r="G420" s="120" t="s">
        <v>2018</v>
      </c>
      <c r="H420" s="49" t="s">
        <v>2019</v>
      </c>
      <c r="I420" s="39">
        <v>43287</v>
      </c>
      <c r="J420" s="50">
        <v>2465504.67</v>
      </c>
      <c r="K420" s="50">
        <v>2465504.67</v>
      </c>
      <c r="L420" s="51">
        <v>0</v>
      </c>
      <c r="M420" s="48">
        <v>43364</v>
      </c>
      <c r="N420" s="48" t="s">
        <v>1985</v>
      </c>
      <c r="O420" s="46" t="s">
        <v>1986</v>
      </c>
      <c r="P420" s="52">
        <v>721059709</v>
      </c>
      <c r="Q420" s="46"/>
      <c r="R420" s="58" t="str">
        <f>HYPERLINK("https://drive.google.com/open?id=1oy8acR3vy1Tw6_X6YKNiYz-8UipoAV45","Договор")</f>
        <v>Договор</v>
      </c>
      <c r="S420" s="46"/>
      <c r="T420" s="46"/>
      <c r="U420" s="47"/>
    </row>
    <row r="421" spans="1:21" ht="63">
      <c r="A421" s="46">
        <v>408</v>
      </c>
      <c r="B421" s="46" t="s">
        <v>20</v>
      </c>
      <c r="C421" s="46" t="s">
        <v>504</v>
      </c>
      <c r="D421" s="46" t="s">
        <v>21</v>
      </c>
      <c r="E421" s="117" t="s">
        <v>2020</v>
      </c>
      <c r="F421" s="48" t="s">
        <v>2021</v>
      </c>
      <c r="G421" s="120" t="s">
        <v>2022</v>
      </c>
      <c r="H421" s="49" t="s">
        <v>2023</v>
      </c>
      <c r="I421" s="39">
        <v>43287</v>
      </c>
      <c r="J421" s="50">
        <v>2373730.7200000002</v>
      </c>
      <c r="K421" s="50">
        <v>2373730.7200000002</v>
      </c>
      <c r="L421" s="51">
        <v>0</v>
      </c>
      <c r="M421" s="48">
        <v>43369</v>
      </c>
      <c r="N421" s="48" t="s">
        <v>1985</v>
      </c>
      <c r="O421" s="46" t="s">
        <v>1986</v>
      </c>
      <c r="P421" s="52">
        <v>721059709</v>
      </c>
      <c r="Q421" s="46"/>
      <c r="R421" s="58" t="str">
        <f>HYPERLINK("https://drive.google.com/open?id=1nRbRD39upA3LR09lvjDplvmlsbrhgg7Q","Договор")</f>
        <v>Договор</v>
      </c>
      <c r="S421" s="46"/>
      <c r="T421" s="46"/>
      <c r="U421" s="47"/>
    </row>
    <row r="422" spans="1:21" ht="78.75">
      <c r="A422" s="55">
        <v>409</v>
      </c>
      <c r="B422" s="53" t="s">
        <v>20</v>
      </c>
      <c r="C422" s="46" t="s">
        <v>504</v>
      </c>
      <c r="D422" s="60" t="s">
        <v>21</v>
      </c>
      <c r="E422" s="118" t="s">
        <v>2024</v>
      </c>
      <c r="F422" s="39" t="s">
        <v>2025</v>
      </c>
      <c r="G422" s="120" t="s">
        <v>2026</v>
      </c>
      <c r="H422" s="61" t="s">
        <v>2027</v>
      </c>
      <c r="I422" s="86">
        <v>42793</v>
      </c>
      <c r="J422" s="50">
        <v>1564055.15</v>
      </c>
      <c r="K422" s="50">
        <v>1440787.59</v>
      </c>
      <c r="L422" s="85"/>
      <c r="M422" s="87">
        <v>43403</v>
      </c>
      <c r="N422" s="53" t="s">
        <v>641</v>
      </c>
      <c r="O422" s="53" t="s">
        <v>642</v>
      </c>
      <c r="P422" s="55">
        <v>3304018728</v>
      </c>
      <c r="Q422" s="53" t="s">
        <v>2028</v>
      </c>
      <c r="R422" s="58" t="str">
        <f>HYPERLINK("https://drive.google.com/open?id=1KOiUpl8E7wmOqAllmSeqZVVAPUwfYD8-","Договор")</f>
        <v>Договор</v>
      </c>
      <c r="S422" s="55"/>
      <c r="T422" s="55"/>
      <c r="U422" s="55"/>
    </row>
    <row r="423" spans="1:21" ht="78.75">
      <c r="A423" s="55">
        <v>410</v>
      </c>
      <c r="B423" s="53" t="s">
        <v>20</v>
      </c>
      <c r="C423" s="46" t="s">
        <v>504</v>
      </c>
      <c r="D423" s="60" t="s">
        <v>21</v>
      </c>
      <c r="E423" s="118" t="s">
        <v>2029</v>
      </c>
      <c r="F423" s="39" t="s">
        <v>2030</v>
      </c>
      <c r="G423" s="120" t="s">
        <v>2031</v>
      </c>
      <c r="H423" s="61" t="s">
        <v>2032</v>
      </c>
      <c r="I423" s="86" t="s">
        <v>2033</v>
      </c>
      <c r="J423" s="50">
        <v>2211677.42</v>
      </c>
      <c r="K423" s="50">
        <v>2211677.42</v>
      </c>
      <c r="L423" s="85"/>
      <c r="M423" s="87">
        <v>43410</v>
      </c>
      <c r="N423" s="53" t="s">
        <v>2034</v>
      </c>
      <c r="O423" s="53" t="s">
        <v>2035</v>
      </c>
      <c r="P423" s="55">
        <v>3327117549</v>
      </c>
      <c r="Q423" s="53"/>
      <c r="R423" s="58" t="str">
        <f>HYPERLINK("https://drive.google.com/open?id=1XM8MHdsHs5FIr2lZfu-CHwGbyotPX6ii","Договор")</f>
        <v>Договор</v>
      </c>
      <c r="S423" s="55"/>
      <c r="T423" s="55"/>
      <c r="U423" s="55"/>
    </row>
    <row r="424" spans="1:21" ht="78.75">
      <c r="A424" s="55">
        <v>411</v>
      </c>
      <c r="B424" s="53" t="s">
        <v>20</v>
      </c>
      <c r="C424" s="46" t="s">
        <v>504</v>
      </c>
      <c r="D424" s="46" t="s">
        <v>21</v>
      </c>
      <c r="E424" s="118" t="s">
        <v>2036</v>
      </c>
      <c r="F424" s="39" t="s">
        <v>2030</v>
      </c>
      <c r="G424" s="120" t="s">
        <v>2037</v>
      </c>
      <c r="H424" s="90" t="s">
        <v>2038</v>
      </c>
      <c r="I424" s="86">
        <v>42671</v>
      </c>
      <c r="J424" s="50">
        <v>1874614.43</v>
      </c>
      <c r="K424" s="50">
        <v>1746517.61</v>
      </c>
      <c r="L424" s="85"/>
      <c r="M424" s="87">
        <v>43396</v>
      </c>
      <c r="N424" s="53" t="s">
        <v>647</v>
      </c>
      <c r="O424" s="53" t="s">
        <v>648</v>
      </c>
      <c r="P424" s="55">
        <v>3328442686</v>
      </c>
      <c r="Q424" s="53" t="s">
        <v>2039</v>
      </c>
      <c r="R424" s="58" t="str">
        <f>HYPERLINK("https://drive.google.com/open?id=11ZRxbEGMeg99nf9SjMw-MauhL_0r-hzf","Договор")</f>
        <v>Договор</v>
      </c>
      <c r="S424" s="55"/>
      <c r="T424" s="55"/>
      <c r="U424" s="55"/>
    </row>
    <row r="425" spans="1:21" ht="78.75">
      <c r="A425" s="55">
        <v>412</v>
      </c>
      <c r="B425" s="53" t="s">
        <v>20</v>
      </c>
      <c r="C425" s="46" t="s">
        <v>504</v>
      </c>
      <c r="D425" s="46" t="s">
        <v>21</v>
      </c>
      <c r="E425" s="118" t="s">
        <v>2040</v>
      </c>
      <c r="F425" s="39" t="s">
        <v>2030</v>
      </c>
      <c r="G425" s="120" t="s">
        <v>2041</v>
      </c>
      <c r="H425" s="90" t="s">
        <v>2042</v>
      </c>
      <c r="I425" s="86">
        <v>42671</v>
      </c>
      <c r="J425" s="50">
        <v>2068274.55</v>
      </c>
      <c r="K425" s="50">
        <v>1944235.16</v>
      </c>
      <c r="L425" s="85"/>
      <c r="M425" s="87">
        <v>43392</v>
      </c>
      <c r="N425" s="53" t="s">
        <v>647</v>
      </c>
      <c r="O425" s="53" t="s">
        <v>648</v>
      </c>
      <c r="P425" s="55">
        <v>3328442686</v>
      </c>
      <c r="Q425" s="53" t="s">
        <v>2043</v>
      </c>
      <c r="R425" s="58" t="str">
        <f>HYPERLINK("https://drive.google.com/open?id=17jcCrGCE35Zin-3GcjHf8343Jv45P4m9","Договор")</f>
        <v>Договор</v>
      </c>
      <c r="S425" s="55"/>
      <c r="T425" s="55"/>
      <c r="U425" s="55"/>
    </row>
    <row r="426" spans="1:21" ht="78.75">
      <c r="A426" s="55">
        <v>413</v>
      </c>
      <c r="B426" s="53" t="s">
        <v>20</v>
      </c>
      <c r="C426" s="46" t="s">
        <v>504</v>
      </c>
      <c r="D426" s="46" t="s">
        <v>21</v>
      </c>
      <c r="E426" s="118" t="s">
        <v>2044</v>
      </c>
      <c r="F426" s="39" t="s">
        <v>2030</v>
      </c>
      <c r="G426" s="120" t="s">
        <v>2045</v>
      </c>
      <c r="H426" s="90" t="s">
        <v>2046</v>
      </c>
      <c r="I426" s="67">
        <v>42793</v>
      </c>
      <c r="J426" s="50">
        <v>886849.55</v>
      </c>
      <c r="K426" s="50">
        <v>818324.37</v>
      </c>
      <c r="L426" s="51"/>
      <c r="M426" s="53" t="s">
        <v>1752</v>
      </c>
      <c r="N426" s="55" t="s">
        <v>125</v>
      </c>
      <c r="O426" s="53" t="s">
        <v>584</v>
      </c>
      <c r="P426" s="121" t="s">
        <v>2047</v>
      </c>
      <c r="Q426" s="53" t="s">
        <v>2048</v>
      </c>
      <c r="R426" s="58" t="str">
        <f>HYPERLINK("https://drive.google.com/open?id=1KmCHJ5CGvRxUegRnUqivgIdUiH74qAaM","Договор")</f>
        <v>Договор</v>
      </c>
      <c r="S426" s="55"/>
      <c r="T426" s="55"/>
      <c r="U426" s="55"/>
    </row>
    <row r="427" spans="1:21" ht="78.75">
      <c r="A427" s="46">
        <v>414</v>
      </c>
      <c r="B427" s="46" t="s">
        <v>20</v>
      </c>
      <c r="C427" s="46" t="s">
        <v>504</v>
      </c>
      <c r="D427" s="46" t="s">
        <v>21</v>
      </c>
      <c r="E427" s="117" t="s">
        <v>2049</v>
      </c>
      <c r="F427" s="39" t="s">
        <v>2050</v>
      </c>
      <c r="G427" s="120" t="s">
        <v>2051</v>
      </c>
      <c r="H427" s="90" t="s">
        <v>2052</v>
      </c>
      <c r="I427" s="48">
        <v>42779</v>
      </c>
      <c r="J427" s="50">
        <v>1686831.24</v>
      </c>
      <c r="K427" s="50">
        <v>1686831.24</v>
      </c>
      <c r="L427" s="51"/>
      <c r="M427" s="48" t="s">
        <v>1276</v>
      </c>
      <c r="N427" s="46" t="s">
        <v>494</v>
      </c>
      <c r="O427" s="46" t="s">
        <v>495</v>
      </c>
      <c r="P427" s="56">
        <v>3328401520</v>
      </c>
      <c r="Q427" s="46"/>
      <c r="R427" s="58" t="str">
        <f>HYPERLINK("https://drive.google.com/open?id=14q4X_tq24MyGTygLBlrv7sOP1C24Bq5X","Договор")</f>
        <v>Договор</v>
      </c>
      <c r="S427" s="46"/>
      <c r="T427" s="46"/>
      <c r="U427" s="54"/>
    </row>
    <row r="428" spans="1:21" ht="94.5">
      <c r="A428" s="46">
        <v>415</v>
      </c>
      <c r="B428" s="46" t="s">
        <v>20</v>
      </c>
      <c r="C428" s="46" t="s">
        <v>504</v>
      </c>
      <c r="D428" s="46" t="s">
        <v>21</v>
      </c>
      <c r="E428" s="118" t="s">
        <v>2053</v>
      </c>
      <c r="F428" s="39" t="s">
        <v>2025</v>
      </c>
      <c r="G428" s="120" t="s">
        <v>2054</v>
      </c>
      <c r="H428" s="90" t="s">
        <v>2055</v>
      </c>
      <c r="I428" s="48">
        <v>43208</v>
      </c>
      <c r="J428" s="50">
        <v>3631417</v>
      </c>
      <c r="K428" s="50">
        <v>3631417</v>
      </c>
      <c r="L428" s="51"/>
      <c r="M428" s="48">
        <v>43413</v>
      </c>
      <c r="N428" s="48" t="s">
        <v>1517</v>
      </c>
      <c r="O428" s="46" t="s">
        <v>1518</v>
      </c>
      <c r="P428" s="52">
        <v>6230053015</v>
      </c>
      <c r="Q428" s="53" t="s">
        <v>1496</v>
      </c>
      <c r="R428" s="58" t="str">
        <f>HYPERLINK("https://drive.google.com/open?id=1E0umQk6AVJtYWgVyISwRrAB1dbbhejis","Договор")</f>
        <v>Договор</v>
      </c>
      <c r="S428" s="54"/>
      <c r="T428" s="54"/>
      <c r="U428" s="54"/>
    </row>
    <row r="429" spans="1:21" ht="78.75">
      <c r="A429" s="46">
        <v>416</v>
      </c>
      <c r="B429" s="46" t="s">
        <v>20</v>
      </c>
      <c r="C429" s="46" t="s">
        <v>504</v>
      </c>
      <c r="D429" s="46" t="s">
        <v>21</v>
      </c>
      <c r="E429" s="118" t="s">
        <v>2056</v>
      </c>
      <c r="F429" s="39" t="s">
        <v>2050</v>
      </c>
      <c r="G429" s="120" t="s">
        <v>2057</v>
      </c>
      <c r="H429" s="90" t="s">
        <v>2058</v>
      </c>
      <c r="I429" s="79">
        <v>42793</v>
      </c>
      <c r="J429" s="50">
        <v>4680571.07</v>
      </c>
      <c r="K429" s="97">
        <v>4297969.78</v>
      </c>
      <c r="L429" s="51"/>
      <c r="M429" s="48">
        <v>43447</v>
      </c>
      <c r="N429" s="48" t="s">
        <v>513</v>
      </c>
      <c r="O429" s="92" t="s">
        <v>801</v>
      </c>
      <c r="P429" s="52">
        <v>3308004490</v>
      </c>
      <c r="Q429" s="53" t="s">
        <v>2059</v>
      </c>
      <c r="R429" s="58" t="str">
        <f>HYPERLINK("https://drive.google.com/open?id=1h-XdAO9dKVweqBhdlEvwuBk8aPfW3b_E","Договор")</f>
        <v>Договор</v>
      </c>
      <c r="S429" s="46"/>
      <c r="T429" s="46"/>
      <c r="U429" s="101"/>
    </row>
    <row r="430" spans="1:21" ht="78.75">
      <c r="A430" s="46">
        <v>417</v>
      </c>
      <c r="B430" s="46" t="s">
        <v>20</v>
      </c>
      <c r="C430" s="46" t="s">
        <v>504</v>
      </c>
      <c r="D430" s="46" t="s">
        <v>21</v>
      </c>
      <c r="E430" s="118" t="s">
        <v>2060</v>
      </c>
      <c r="F430" s="39" t="s">
        <v>2025</v>
      </c>
      <c r="G430" s="120" t="s">
        <v>2061</v>
      </c>
      <c r="H430" s="90" t="s">
        <v>2062</v>
      </c>
      <c r="I430" s="79">
        <v>42793</v>
      </c>
      <c r="J430" s="50">
        <v>2079253.94</v>
      </c>
      <c r="K430" s="97">
        <v>1911309.69</v>
      </c>
      <c r="L430" s="51"/>
      <c r="M430" s="48">
        <v>43394</v>
      </c>
      <c r="N430" s="48" t="s">
        <v>513</v>
      </c>
      <c r="O430" s="92" t="s">
        <v>801</v>
      </c>
      <c r="P430" s="52">
        <v>3308004490</v>
      </c>
      <c r="Q430" s="53" t="s">
        <v>2063</v>
      </c>
      <c r="R430" s="58" t="str">
        <f>HYPERLINK("https://drive.google.com/open?id=1MjVvcoJxydjxH4DIJ1j9rDEpqdLasEd0","Договор")</f>
        <v>Договор</v>
      </c>
      <c r="S430" s="46"/>
      <c r="T430" s="46"/>
      <c r="U430" s="101"/>
    </row>
    <row r="431" spans="1:21" ht="78.75">
      <c r="A431" s="46">
        <v>418</v>
      </c>
      <c r="B431" s="46" t="s">
        <v>20</v>
      </c>
      <c r="C431" s="46" t="s">
        <v>504</v>
      </c>
      <c r="D431" s="46" t="s">
        <v>21</v>
      </c>
      <c r="E431" s="118" t="s">
        <v>2064</v>
      </c>
      <c r="F431" s="39" t="s">
        <v>2025</v>
      </c>
      <c r="G431" s="120" t="s">
        <v>2065</v>
      </c>
      <c r="H431" s="90" t="s">
        <v>2066</v>
      </c>
      <c r="I431" s="86" t="s">
        <v>2033</v>
      </c>
      <c r="J431" s="50">
        <v>2098679.58</v>
      </c>
      <c r="K431" s="50">
        <v>2098679.58</v>
      </c>
      <c r="L431" s="85"/>
      <c r="M431" s="87">
        <v>43416</v>
      </c>
      <c r="N431" s="53" t="s">
        <v>2034</v>
      </c>
      <c r="O431" s="53" t="s">
        <v>2035</v>
      </c>
      <c r="P431" s="55">
        <v>3327117549</v>
      </c>
      <c r="Q431" s="53"/>
      <c r="R431" s="58" t="str">
        <f>HYPERLINK("https://drive.google.com/open?id=1_lLxPV7icL2NBUKYiCXkrGRL5S31A85x","Договор")</f>
        <v>Договор</v>
      </c>
      <c r="S431" s="46"/>
      <c r="T431" s="46"/>
      <c r="U431" s="101"/>
    </row>
    <row r="432" spans="1:21" ht="78.75">
      <c r="A432" s="55">
        <v>419</v>
      </c>
      <c r="B432" s="53" t="s">
        <v>20</v>
      </c>
      <c r="C432" s="46" t="s">
        <v>504</v>
      </c>
      <c r="D432" s="46" t="s">
        <v>21</v>
      </c>
      <c r="E432" s="118" t="s">
        <v>2067</v>
      </c>
      <c r="F432" s="39" t="s">
        <v>2025</v>
      </c>
      <c r="G432" s="120" t="s">
        <v>2068</v>
      </c>
      <c r="H432" s="90" t="s">
        <v>2069</v>
      </c>
      <c r="I432" s="86">
        <v>42671</v>
      </c>
      <c r="J432" s="50">
        <v>2153475.5699999998</v>
      </c>
      <c r="K432" s="50">
        <v>2020477.6</v>
      </c>
      <c r="L432" s="85"/>
      <c r="M432" s="87">
        <v>43404</v>
      </c>
      <c r="N432" s="53" t="s">
        <v>647</v>
      </c>
      <c r="O432" s="53" t="s">
        <v>648</v>
      </c>
      <c r="P432" s="55">
        <v>3328442686</v>
      </c>
      <c r="Q432" s="53" t="s">
        <v>2070</v>
      </c>
      <c r="R432" s="58" t="str">
        <f>HYPERLINK("https://drive.google.com/open?id=1CrVcGE-eqX1hBIe9SBAiLcTOf1EQpoUD","Договор")</f>
        <v>Договор</v>
      </c>
      <c r="S432" s="55"/>
      <c r="T432" s="55"/>
      <c r="U432" s="55"/>
    </row>
    <row r="433" spans="1:21" ht="94.5">
      <c r="A433" s="46">
        <v>420</v>
      </c>
      <c r="B433" s="46" t="s">
        <v>20</v>
      </c>
      <c r="C433" s="46" t="s">
        <v>504</v>
      </c>
      <c r="D433" s="46" t="s">
        <v>21</v>
      </c>
      <c r="E433" s="118" t="s">
        <v>2071</v>
      </c>
      <c r="F433" s="39" t="s">
        <v>2025</v>
      </c>
      <c r="G433" s="120" t="s">
        <v>2072</v>
      </c>
      <c r="H433" s="90" t="s">
        <v>2073</v>
      </c>
      <c r="I433" s="48">
        <v>42885</v>
      </c>
      <c r="J433" s="50">
        <v>1753985.35</v>
      </c>
      <c r="K433" s="50">
        <v>1612467.62</v>
      </c>
      <c r="L433" s="51"/>
      <c r="M433" s="48">
        <v>43412</v>
      </c>
      <c r="N433" s="48" t="s">
        <v>161</v>
      </c>
      <c r="O433" s="46" t="s">
        <v>162</v>
      </c>
      <c r="P433" s="52">
        <v>3322011926</v>
      </c>
      <c r="Q433" s="53" t="s">
        <v>2074</v>
      </c>
      <c r="R433" s="58" t="str">
        <f>HYPERLINK("https://drive.google.com/open?id=1OJl-dWQ--6lWMw24vt6rB2j41Ba8u0tx","Договор")</f>
        <v>Договор</v>
      </c>
      <c r="S433" s="54"/>
      <c r="T433" s="54"/>
      <c r="U433" s="54"/>
    </row>
    <row r="434" spans="1:21" ht="94.5">
      <c r="A434" s="46">
        <v>421</v>
      </c>
      <c r="B434" s="46" t="s">
        <v>20</v>
      </c>
      <c r="C434" s="46" t="s">
        <v>504</v>
      </c>
      <c r="D434" s="46" t="s">
        <v>21</v>
      </c>
      <c r="E434" s="118" t="s">
        <v>2075</v>
      </c>
      <c r="F434" s="39" t="s">
        <v>2025</v>
      </c>
      <c r="G434" s="120" t="s">
        <v>2076</v>
      </c>
      <c r="H434" s="90" t="s">
        <v>2077</v>
      </c>
      <c r="I434" s="48">
        <v>42885</v>
      </c>
      <c r="J434" s="50">
        <v>1702392.5</v>
      </c>
      <c r="K434" s="50">
        <v>1565938.85</v>
      </c>
      <c r="L434" s="51"/>
      <c r="M434" s="48">
        <v>43417</v>
      </c>
      <c r="N434" s="48" t="s">
        <v>161</v>
      </c>
      <c r="O434" s="46" t="s">
        <v>162</v>
      </c>
      <c r="P434" s="52">
        <v>3322011926</v>
      </c>
      <c r="Q434" s="53" t="s">
        <v>2078</v>
      </c>
      <c r="R434" s="58" t="str">
        <f>HYPERLINK("https://drive.google.com/open?id=16UkTA9E1vNT1k27kDMkiBTTfa3Auevsv","Договор")</f>
        <v>Договор</v>
      </c>
      <c r="S434" s="54"/>
      <c r="T434" s="54"/>
      <c r="U434" s="54"/>
    </row>
    <row r="435" spans="1:21" ht="78.75">
      <c r="A435" s="46">
        <v>422</v>
      </c>
      <c r="B435" s="46" t="s">
        <v>20</v>
      </c>
      <c r="C435" s="46" t="s">
        <v>504</v>
      </c>
      <c r="D435" s="46" t="s">
        <v>21</v>
      </c>
      <c r="E435" s="117" t="s">
        <v>2079</v>
      </c>
      <c r="F435" s="48" t="s">
        <v>2080</v>
      </c>
      <c r="G435" s="120" t="s">
        <v>2081</v>
      </c>
      <c r="H435" s="90" t="s">
        <v>1242</v>
      </c>
      <c r="I435" s="48">
        <v>42779</v>
      </c>
      <c r="J435" s="50">
        <v>53092.480000000003</v>
      </c>
      <c r="K435" s="97">
        <v>44993.63</v>
      </c>
      <c r="L435" s="51"/>
      <c r="M435" s="48" t="s">
        <v>100</v>
      </c>
      <c r="N435" s="48" t="s">
        <v>173</v>
      </c>
      <c r="O435" s="46" t="s">
        <v>174</v>
      </c>
      <c r="P435" s="52">
        <v>4345265453</v>
      </c>
      <c r="Q435" s="53" t="s">
        <v>2082</v>
      </c>
      <c r="R435" s="58" t="str">
        <f>HYPERLINK("https://drive.google.com/open?id=1fUVAq_pkCKamoMeYN3Z28nnTFpPFjXFF","Договор")</f>
        <v>Договор</v>
      </c>
      <c r="S435" s="46"/>
      <c r="T435" s="46"/>
      <c r="U435" s="5"/>
    </row>
    <row r="436" spans="1:21" ht="63">
      <c r="A436" s="55">
        <v>423</v>
      </c>
      <c r="B436" s="53" t="s">
        <v>20</v>
      </c>
      <c r="C436" s="46" t="s">
        <v>504</v>
      </c>
      <c r="D436" s="46" t="s">
        <v>21</v>
      </c>
      <c r="E436" s="118" t="s">
        <v>2083</v>
      </c>
      <c r="F436" s="48" t="s">
        <v>2084</v>
      </c>
      <c r="G436" s="120" t="s">
        <v>2085</v>
      </c>
      <c r="H436" s="90" t="s">
        <v>2086</v>
      </c>
      <c r="I436" s="86">
        <v>42885</v>
      </c>
      <c r="J436" s="50">
        <v>2382258.34</v>
      </c>
      <c r="K436" s="50">
        <v>2184744.58</v>
      </c>
      <c r="L436" s="85"/>
      <c r="M436" s="87">
        <v>43438</v>
      </c>
      <c r="N436" s="53" t="s">
        <v>624</v>
      </c>
      <c r="O436" s="53" t="s">
        <v>625</v>
      </c>
      <c r="P436" s="55">
        <v>3328457763</v>
      </c>
      <c r="Q436" s="53" t="s">
        <v>2087</v>
      </c>
      <c r="R436" s="58" t="str">
        <f>HYPERLINK("https://drive.google.com/open?id=11VBuT2vROYuvStjpiCyhlD44AcGPO8AH","Договор")</f>
        <v>Договор</v>
      </c>
      <c r="S436" s="55"/>
      <c r="T436" s="55"/>
      <c r="U436" s="55"/>
    </row>
    <row r="437" spans="1:21" ht="63">
      <c r="A437" s="55">
        <v>424</v>
      </c>
      <c r="B437" s="53" t="s">
        <v>20</v>
      </c>
      <c r="C437" s="46" t="s">
        <v>504</v>
      </c>
      <c r="D437" s="46" t="s">
        <v>21</v>
      </c>
      <c r="E437" s="118" t="s">
        <v>2088</v>
      </c>
      <c r="F437" s="48" t="s">
        <v>2089</v>
      </c>
      <c r="G437" s="120" t="s">
        <v>2090</v>
      </c>
      <c r="H437" s="90" t="s">
        <v>2091</v>
      </c>
      <c r="I437" s="86">
        <v>42885</v>
      </c>
      <c r="J437" s="50">
        <v>2406188.7200000002</v>
      </c>
      <c r="K437" s="50">
        <v>2211840.2000000002</v>
      </c>
      <c r="L437" s="85"/>
      <c r="M437" s="87">
        <v>43437</v>
      </c>
      <c r="N437" s="53" t="s">
        <v>624</v>
      </c>
      <c r="O437" s="53" t="s">
        <v>625</v>
      </c>
      <c r="P437" s="55">
        <v>3328457763</v>
      </c>
      <c r="Q437" s="53" t="s">
        <v>2092</v>
      </c>
      <c r="R437" s="58" t="str">
        <f>HYPERLINK("https://drive.google.com/open?id=1gEYdwroXF47bcdzQdGD1-elgaMITJjwH","Договор")</f>
        <v>Договор</v>
      </c>
      <c r="S437" s="55"/>
      <c r="T437" s="55"/>
      <c r="U437" s="55"/>
    </row>
    <row r="438" spans="1:21" ht="78.75">
      <c r="A438" s="55">
        <v>425</v>
      </c>
      <c r="B438" s="46" t="s">
        <v>20</v>
      </c>
      <c r="C438" s="46" t="s">
        <v>504</v>
      </c>
      <c r="D438" s="46" t="s">
        <v>21</v>
      </c>
      <c r="E438" s="118" t="s">
        <v>2093</v>
      </c>
      <c r="F438" s="39" t="s">
        <v>2094</v>
      </c>
      <c r="G438" s="120" t="s">
        <v>2095</v>
      </c>
      <c r="H438" s="90" t="s">
        <v>2096</v>
      </c>
      <c r="I438" s="48">
        <v>42885</v>
      </c>
      <c r="J438" s="50">
        <v>2714222.9</v>
      </c>
      <c r="K438" s="50">
        <v>2501453.2599999998</v>
      </c>
      <c r="L438" s="51"/>
      <c r="M438" s="48">
        <v>43438</v>
      </c>
      <c r="N438" s="46" t="s">
        <v>298</v>
      </c>
      <c r="O438" s="46" t="s">
        <v>299</v>
      </c>
      <c r="P438" s="56">
        <v>3329028076</v>
      </c>
      <c r="Q438" s="53" t="s">
        <v>2097</v>
      </c>
      <c r="R438" s="58" t="str">
        <f>HYPERLINK("https://drive.google.com/open?id=1SkDnlQlCOV1YEq0Gxwt13fxmOhhLOhtE","Договор")</f>
        <v>Договор</v>
      </c>
      <c r="S438" s="46"/>
      <c r="T438" s="46"/>
      <c r="U438" s="54"/>
    </row>
    <row r="439" spans="1:21" ht="78.75">
      <c r="A439" s="55">
        <v>426</v>
      </c>
      <c r="B439" s="53" t="s">
        <v>20</v>
      </c>
      <c r="C439" s="46" t="s">
        <v>504</v>
      </c>
      <c r="D439" s="46" t="s">
        <v>21</v>
      </c>
      <c r="E439" s="118" t="s">
        <v>2098</v>
      </c>
      <c r="F439" s="48" t="s">
        <v>2089</v>
      </c>
      <c r="G439" s="120" t="s">
        <v>2099</v>
      </c>
      <c r="H439" s="90" t="s">
        <v>2100</v>
      </c>
      <c r="I439" s="86">
        <v>42885</v>
      </c>
      <c r="J439" s="50">
        <v>1803744.76</v>
      </c>
      <c r="K439" s="50">
        <v>1652248.79</v>
      </c>
      <c r="L439" s="85"/>
      <c r="M439" s="87">
        <v>43395</v>
      </c>
      <c r="N439" s="53" t="s">
        <v>624</v>
      </c>
      <c r="O439" s="53" t="s">
        <v>625</v>
      </c>
      <c r="P439" s="55">
        <v>3328457763</v>
      </c>
      <c r="Q439" s="53" t="s">
        <v>2101</v>
      </c>
      <c r="R439" s="58" t="str">
        <f>HYPERLINK("https://drive.google.com/open?id=1cnotrsXgL7lMJq8QW1SbAgg04QKy70j-","Договор")</f>
        <v>Договор</v>
      </c>
      <c r="S439" s="55"/>
      <c r="T439" s="55"/>
      <c r="U439" s="55"/>
    </row>
    <row r="440" spans="1:21" ht="78.75">
      <c r="A440" s="46">
        <v>427</v>
      </c>
      <c r="B440" s="46" t="s">
        <v>20</v>
      </c>
      <c r="C440" s="46" t="s">
        <v>504</v>
      </c>
      <c r="D440" s="46" t="s">
        <v>21</v>
      </c>
      <c r="E440" s="117" t="s">
        <v>2102</v>
      </c>
      <c r="F440" s="48" t="s">
        <v>2103</v>
      </c>
      <c r="G440" s="120" t="s">
        <v>2104</v>
      </c>
      <c r="H440" s="90" t="s">
        <v>2105</v>
      </c>
      <c r="I440" s="48">
        <v>42779</v>
      </c>
      <c r="J440" s="50">
        <v>518863.8</v>
      </c>
      <c r="K440" s="97">
        <v>412496.68</v>
      </c>
      <c r="L440" s="51"/>
      <c r="M440" s="48" t="s">
        <v>73</v>
      </c>
      <c r="N440" s="48" t="s">
        <v>173</v>
      </c>
      <c r="O440" s="46" t="s">
        <v>174</v>
      </c>
      <c r="P440" s="52">
        <v>4345265453</v>
      </c>
      <c r="Q440" s="53" t="s">
        <v>2106</v>
      </c>
      <c r="R440" s="58" t="str">
        <f>HYPERLINK("https://drive.google.com/open?id=1BbbVLL8SeF8b2c86EpJnefdzu0ve3Khb","Договор")</f>
        <v>Договор</v>
      </c>
      <c r="S440" s="46"/>
      <c r="T440" s="46"/>
      <c r="U440" s="5"/>
    </row>
    <row r="441" spans="1:21" ht="78.75">
      <c r="A441" s="46">
        <v>428</v>
      </c>
      <c r="B441" s="46" t="s">
        <v>20</v>
      </c>
      <c r="C441" s="46" t="s">
        <v>504</v>
      </c>
      <c r="D441" s="46" t="s">
        <v>21</v>
      </c>
      <c r="E441" s="117" t="s">
        <v>2107</v>
      </c>
      <c r="F441" s="48" t="s">
        <v>2108</v>
      </c>
      <c r="G441" s="120" t="s">
        <v>2109</v>
      </c>
      <c r="H441" s="90" t="s">
        <v>2105</v>
      </c>
      <c r="I441" s="48">
        <v>42779</v>
      </c>
      <c r="J441" s="50">
        <v>505513.83</v>
      </c>
      <c r="K441" s="97">
        <v>404411.03</v>
      </c>
      <c r="L441" s="51"/>
      <c r="M441" s="48" t="s">
        <v>73</v>
      </c>
      <c r="N441" s="48" t="s">
        <v>173</v>
      </c>
      <c r="O441" s="46" t="s">
        <v>174</v>
      </c>
      <c r="P441" s="52">
        <v>4345265453</v>
      </c>
      <c r="Q441" s="53" t="s">
        <v>2110</v>
      </c>
      <c r="R441" s="58" t="str">
        <f>HYPERLINK("https://drive.google.com/open?id=1PFi6KcgZlntpkoooANpigTag7lJLiLZT","Договор")</f>
        <v>Договор</v>
      </c>
      <c r="S441" s="46"/>
      <c r="T441" s="46"/>
      <c r="U441" s="5"/>
    </row>
    <row r="442" spans="1:21" ht="78.75">
      <c r="A442" s="46">
        <v>429</v>
      </c>
      <c r="B442" s="46" t="s">
        <v>20</v>
      </c>
      <c r="C442" s="46" t="s">
        <v>504</v>
      </c>
      <c r="D442" s="46" t="s">
        <v>21</v>
      </c>
      <c r="E442" s="117" t="s">
        <v>2111</v>
      </c>
      <c r="F442" s="48" t="s">
        <v>2108</v>
      </c>
      <c r="G442" s="120" t="s">
        <v>2112</v>
      </c>
      <c r="H442" s="90" t="s">
        <v>2113</v>
      </c>
      <c r="I442" s="48">
        <v>42779</v>
      </c>
      <c r="J442" s="50">
        <v>470741.7</v>
      </c>
      <c r="K442" s="97">
        <v>398933.63</v>
      </c>
      <c r="L442" s="51"/>
      <c r="M442" s="48" t="s">
        <v>73</v>
      </c>
      <c r="N442" s="48" t="s">
        <v>173</v>
      </c>
      <c r="O442" s="46" t="s">
        <v>174</v>
      </c>
      <c r="P442" s="52">
        <v>4345265453</v>
      </c>
      <c r="Q442" s="53" t="s">
        <v>2114</v>
      </c>
      <c r="R442" s="58" t="str">
        <f>HYPERLINK("https://drive.google.com/open?id=18s33dYMHC3yWMopu75knwU0OGiVeodNM","Договор")</f>
        <v>Договор</v>
      </c>
      <c r="S442" s="46"/>
      <c r="T442" s="46"/>
      <c r="U442" s="5"/>
    </row>
    <row r="443" spans="1:21" ht="78.75">
      <c r="A443" s="55">
        <v>430</v>
      </c>
      <c r="B443" s="53" t="s">
        <v>20</v>
      </c>
      <c r="C443" s="53" t="s">
        <v>504</v>
      </c>
      <c r="D443" s="70" t="s">
        <v>21</v>
      </c>
      <c r="E443" s="118" t="s">
        <v>2115</v>
      </c>
      <c r="F443" s="48" t="s">
        <v>2116</v>
      </c>
      <c r="G443" s="120" t="s">
        <v>2117</v>
      </c>
      <c r="H443" s="90" t="s">
        <v>2118</v>
      </c>
      <c r="I443" s="73">
        <v>42671</v>
      </c>
      <c r="J443" s="50">
        <v>2208916.23</v>
      </c>
      <c r="K443" s="50">
        <v>2027170.19</v>
      </c>
      <c r="L443" s="85"/>
      <c r="M443" s="119">
        <v>43423</v>
      </c>
      <c r="N443" s="53" t="s">
        <v>31</v>
      </c>
      <c r="O443" s="53" t="s">
        <v>678</v>
      </c>
      <c r="P443" s="89">
        <v>3304016992</v>
      </c>
      <c r="Q443" s="53" t="s">
        <v>2119</v>
      </c>
      <c r="R443" s="58" t="str">
        <f>HYPERLINK("https://drive.google.com/open?id=1fk47EqrmRETzIbtwhhQH0nG6QtWCiXzM","Договор")</f>
        <v>Договор</v>
      </c>
      <c r="S443" s="55"/>
      <c r="T443" s="55"/>
      <c r="U443" s="55"/>
    </row>
    <row r="444" spans="1:21" ht="78.75">
      <c r="A444" s="55">
        <v>431</v>
      </c>
      <c r="B444" s="53" t="s">
        <v>20</v>
      </c>
      <c r="C444" s="53" t="s">
        <v>504</v>
      </c>
      <c r="D444" s="70" t="s">
        <v>21</v>
      </c>
      <c r="E444" s="118" t="s">
        <v>2120</v>
      </c>
      <c r="F444" s="48" t="s">
        <v>2121</v>
      </c>
      <c r="G444" s="120" t="s">
        <v>2122</v>
      </c>
      <c r="H444" s="90" t="s">
        <v>2123</v>
      </c>
      <c r="I444" s="73">
        <v>42671</v>
      </c>
      <c r="J444" s="50">
        <v>1585583.17</v>
      </c>
      <c r="K444" s="50">
        <v>1453094.25</v>
      </c>
      <c r="L444" s="85"/>
      <c r="M444" s="119">
        <v>43403</v>
      </c>
      <c r="N444" s="53" t="s">
        <v>31</v>
      </c>
      <c r="O444" s="53" t="s">
        <v>678</v>
      </c>
      <c r="P444" s="89">
        <v>3304016992</v>
      </c>
      <c r="Q444" s="53" t="s">
        <v>2124</v>
      </c>
      <c r="R444" s="58" t="str">
        <f>HYPERLINK("https://drive.google.com/open?id=1w5UWSsYtKu_MVqSuPr5sqkXi7NMKC5QP","Договор")</f>
        <v>Договор</v>
      </c>
      <c r="S444" s="55"/>
      <c r="T444" s="55"/>
      <c r="U444" s="55"/>
    </row>
    <row r="445" spans="1:21" ht="78.75">
      <c r="A445" s="55">
        <v>432</v>
      </c>
      <c r="B445" s="53" t="s">
        <v>20</v>
      </c>
      <c r="C445" s="46" t="s">
        <v>504</v>
      </c>
      <c r="D445" s="46" t="s">
        <v>21</v>
      </c>
      <c r="E445" s="118" t="s">
        <v>2125</v>
      </c>
      <c r="F445" s="39" t="s">
        <v>2126</v>
      </c>
      <c r="G445" s="120" t="s">
        <v>2127</v>
      </c>
      <c r="H445" s="90" t="s">
        <v>2128</v>
      </c>
      <c r="I445" s="79">
        <v>42885</v>
      </c>
      <c r="J445" s="50">
        <v>1221428.01</v>
      </c>
      <c r="K445" s="50">
        <v>1119152.3999999999</v>
      </c>
      <c r="L445" s="85"/>
      <c r="M445" s="87">
        <v>43398</v>
      </c>
      <c r="N445" s="53" t="s">
        <v>631</v>
      </c>
      <c r="O445" s="53" t="s">
        <v>1573</v>
      </c>
      <c r="P445" s="55">
        <v>3327118743</v>
      </c>
      <c r="Q445" s="53" t="s">
        <v>2129</v>
      </c>
      <c r="R445" s="58" t="str">
        <f>HYPERLINK("https://drive.google.com/open?id=1gjbjBzsV40mIEkiZSUetAsjE9ZXikr-W","Договор")</f>
        <v>Договор</v>
      </c>
      <c r="S445" s="55"/>
      <c r="T445" s="55"/>
      <c r="U445" s="55"/>
    </row>
    <row r="446" spans="1:21" ht="78.75">
      <c r="A446" s="46">
        <v>433</v>
      </c>
      <c r="B446" s="46" t="s">
        <v>20</v>
      </c>
      <c r="C446" s="46" t="s">
        <v>504</v>
      </c>
      <c r="D446" s="46" t="s">
        <v>21</v>
      </c>
      <c r="E446" s="118" t="s">
        <v>2130</v>
      </c>
      <c r="F446" s="39" t="s">
        <v>2131</v>
      </c>
      <c r="G446" s="120" t="s">
        <v>2132</v>
      </c>
      <c r="H446" s="90" t="s">
        <v>2133</v>
      </c>
      <c r="I446" s="79">
        <v>42793</v>
      </c>
      <c r="J446" s="50">
        <v>2215287.75</v>
      </c>
      <c r="K446" s="50">
        <v>2042054.76</v>
      </c>
      <c r="L446" s="51"/>
      <c r="M446" s="48">
        <v>43413</v>
      </c>
      <c r="N446" s="48" t="s">
        <v>794</v>
      </c>
      <c r="O446" s="46" t="s">
        <v>795</v>
      </c>
      <c r="P446" s="52">
        <v>3304010990</v>
      </c>
      <c r="Q446" s="53" t="s">
        <v>2134</v>
      </c>
      <c r="R446" s="58" t="str">
        <f>HYPERLINK("https://drive.google.com/open?id=1gmOOMXsQVVrwWoJcyp6T7VoFw4oTaJW6","Договор")</f>
        <v>Договор</v>
      </c>
      <c r="S446" s="46"/>
      <c r="T446" s="46"/>
      <c r="U446" s="101"/>
    </row>
    <row r="447" spans="1:21" ht="78.75">
      <c r="A447" s="46">
        <v>434</v>
      </c>
      <c r="B447" s="46" t="s">
        <v>20</v>
      </c>
      <c r="C447" s="46" t="s">
        <v>504</v>
      </c>
      <c r="D447" s="60" t="s">
        <v>21</v>
      </c>
      <c r="E447" s="118" t="s">
        <v>2135</v>
      </c>
      <c r="F447" s="39" t="s">
        <v>2136</v>
      </c>
      <c r="G447" s="120" t="s">
        <v>2137</v>
      </c>
      <c r="H447" s="61" t="s">
        <v>2138</v>
      </c>
      <c r="I447" s="48">
        <v>42671</v>
      </c>
      <c r="J447" s="50">
        <v>2459969.42</v>
      </c>
      <c r="K447" s="50">
        <v>2459969.42</v>
      </c>
      <c r="L447" s="51">
        <v>0</v>
      </c>
      <c r="M447" s="48">
        <v>43440</v>
      </c>
      <c r="N447" s="48" t="s">
        <v>53</v>
      </c>
      <c r="O447" s="46" t="s">
        <v>54</v>
      </c>
      <c r="P447" s="52">
        <v>3329058867</v>
      </c>
      <c r="Q447" s="53"/>
      <c r="R447" s="58" t="str">
        <f>HYPERLINK("https://drive.google.com/open?id=1M-qmzxHoW5CnLfzRDV4kEwFpPm_E55uz","Договор")</f>
        <v>Договор</v>
      </c>
      <c r="S447" s="54"/>
      <c r="T447" s="54"/>
      <c r="U447" s="54"/>
    </row>
    <row r="448" spans="1:21" ht="78.75">
      <c r="A448" s="46">
        <v>435</v>
      </c>
      <c r="B448" s="46" t="s">
        <v>20</v>
      </c>
      <c r="C448" s="46" t="s">
        <v>504</v>
      </c>
      <c r="D448" s="46" t="s">
        <v>21</v>
      </c>
      <c r="E448" s="117" t="s">
        <v>2139</v>
      </c>
      <c r="F448" s="48" t="s">
        <v>2140</v>
      </c>
      <c r="G448" s="120" t="s">
        <v>2141</v>
      </c>
      <c r="H448" s="90" t="s">
        <v>2142</v>
      </c>
      <c r="I448" s="48">
        <v>42779</v>
      </c>
      <c r="J448" s="50">
        <v>596290.42000000004</v>
      </c>
      <c r="K448" s="97">
        <v>505330.87</v>
      </c>
      <c r="L448" s="51"/>
      <c r="M448" s="48" t="s">
        <v>2143</v>
      </c>
      <c r="N448" s="48" t="s">
        <v>173</v>
      </c>
      <c r="O448" s="46" t="s">
        <v>174</v>
      </c>
      <c r="P448" s="52">
        <v>4345265453</v>
      </c>
      <c r="Q448" s="53" t="s">
        <v>2144</v>
      </c>
      <c r="R448" s="58" t="str">
        <f>HYPERLINK("https://drive.google.com/open?id=1aQglgX_lTEhJ5FwvXsNuttFAgg4c0h17","Договор")</f>
        <v>Договор</v>
      </c>
      <c r="S448" s="46"/>
      <c r="T448" s="46"/>
      <c r="U448" s="5"/>
    </row>
    <row r="449" spans="1:21" ht="78.75">
      <c r="A449" s="46">
        <v>436</v>
      </c>
      <c r="B449" s="46" t="s">
        <v>20</v>
      </c>
      <c r="C449" s="46" t="s">
        <v>504</v>
      </c>
      <c r="D449" s="46" t="s">
        <v>21</v>
      </c>
      <c r="E449" s="117" t="s">
        <v>2145</v>
      </c>
      <c r="F449" s="48" t="s">
        <v>2146</v>
      </c>
      <c r="G449" s="120" t="s">
        <v>2147</v>
      </c>
      <c r="H449" s="90" t="s">
        <v>2148</v>
      </c>
      <c r="I449" s="48">
        <v>42779</v>
      </c>
      <c r="J449" s="50">
        <v>337613.46</v>
      </c>
      <c r="K449" s="97">
        <v>286113.09000000003</v>
      </c>
      <c r="L449" s="51"/>
      <c r="M449" s="48" t="s">
        <v>265</v>
      </c>
      <c r="N449" s="48" t="s">
        <v>173</v>
      </c>
      <c r="O449" s="46" t="s">
        <v>174</v>
      </c>
      <c r="P449" s="52">
        <v>4345265453</v>
      </c>
      <c r="Q449" s="53" t="s">
        <v>2149</v>
      </c>
      <c r="R449" s="58" t="str">
        <f>HYPERLINK("https://drive.google.com/open?id=1svZtGF_mCE1T_b2JRGm--rdR33T51HVg","Договор")</f>
        <v>Договор</v>
      </c>
      <c r="S449" s="46"/>
      <c r="T449" s="46"/>
      <c r="U449" s="5"/>
    </row>
    <row r="450" spans="1:21" ht="78.75">
      <c r="A450" s="46">
        <v>437</v>
      </c>
      <c r="B450" s="46" t="s">
        <v>20</v>
      </c>
      <c r="C450" s="46" t="s">
        <v>504</v>
      </c>
      <c r="D450" s="46" t="s">
        <v>21</v>
      </c>
      <c r="E450" s="117" t="s">
        <v>2150</v>
      </c>
      <c r="F450" s="48" t="s">
        <v>2151</v>
      </c>
      <c r="G450" s="120" t="s">
        <v>2152</v>
      </c>
      <c r="H450" s="90" t="s">
        <v>2148</v>
      </c>
      <c r="I450" s="48">
        <v>42779</v>
      </c>
      <c r="J450" s="50">
        <v>552076.56999999995</v>
      </c>
      <c r="K450" s="97">
        <v>331798.09999999998</v>
      </c>
      <c r="L450" s="51"/>
      <c r="M450" s="48" t="s">
        <v>73</v>
      </c>
      <c r="N450" s="48" t="s">
        <v>173</v>
      </c>
      <c r="O450" s="46" t="s">
        <v>174</v>
      </c>
      <c r="P450" s="52">
        <v>4345265453</v>
      </c>
      <c r="Q450" s="53" t="s">
        <v>2153</v>
      </c>
      <c r="R450" s="58" t="str">
        <f>HYPERLINK("https://drive.google.com/open?id=1bdUvOsdRWhJkm4dNWzer2W-mueGFvCjE","Договор")</f>
        <v>Договор</v>
      </c>
      <c r="S450" s="46"/>
      <c r="T450" s="46"/>
      <c r="U450" s="5"/>
    </row>
    <row r="451" spans="1:21" ht="78.75">
      <c r="A451" s="46">
        <v>438</v>
      </c>
      <c r="B451" s="46" t="s">
        <v>20</v>
      </c>
      <c r="C451" s="46" t="s">
        <v>504</v>
      </c>
      <c r="D451" s="46" t="s">
        <v>21</v>
      </c>
      <c r="E451" s="117" t="s">
        <v>2154</v>
      </c>
      <c r="F451" s="48" t="s">
        <v>2155</v>
      </c>
      <c r="G451" s="120" t="s">
        <v>2156</v>
      </c>
      <c r="H451" s="90" t="s">
        <v>2157</v>
      </c>
      <c r="I451" s="48">
        <v>42779</v>
      </c>
      <c r="J451" s="50">
        <v>501595.26</v>
      </c>
      <c r="K451" s="97">
        <v>425080.73</v>
      </c>
      <c r="L451" s="51"/>
      <c r="M451" s="48" t="s">
        <v>73</v>
      </c>
      <c r="N451" s="48" t="s">
        <v>173</v>
      </c>
      <c r="O451" s="46" t="s">
        <v>174</v>
      </c>
      <c r="P451" s="52">
        <v>4345265453</v>
      </c>
      <c r="Q451" s="53" t="s">
        <v>2158</v>
      </c>
      <c r="R451" s="58" t="str">
        <f>HYPERLINK("https://drive.google.com/open?id=1BxMTky7qF1lVYjOfdqhMtCdM5jmGcCeg","Договор")</f>
        <v>Договор</v>
      </c>
      <c r="S451" s="46"/>
      <c r="T451" s="46"/>
      <c r="U451" s="5"/>
    </row>
    <row r="452" spans="1:21" ht="78.75">
      <c r="A452" s="46">
        <v>439</v>
      </c>
      <c r="B452" s="46" t="s">
        <v>20</v>
      </c>
      <c r="C452" s="46" t="s">
        <v>504</v>
      </c>
      <c r="D452" s="46" t="s">
        <v>21</v>
      </c>
      <c r="E452" s="117" t="s">
        <v>2159</v>
      </c>
      <c r="F452" s="48" t="s">
        <v>2160</v>
      </c>
      <c r="G452" s="120" t="s">
        <v>2161</v>
      </c>
      <c r="H452" s="90" t="s">
        <v>2148</v>
      </c>
      <c r="I452" s="48">
        <v>42779</v>
      </c>
      <c r="J452" s="50">
        <v>426385.27</v>
      </c>
      <c r="K452" s="97">
        <v>361343.45</v>
      </c>
      <c r="L452" s="51"/>
      <c r="M452" s="48" t="s">
        <v>73</v>
      </c>
      <c r="N452" s="48" t="s">
        <v>173</v>
      </c>
      <c r="O452" s="46" t="s">
        <v>174</v>
      </c>
      <c r="P452" s="52">
        <v>4345265453</v>
      </c>
      <c r="Q452" s="53" t="s">
        <v>2162</v>
      </c>
      <c r="R452" s="58" t="str">
        <f>HYPERLINK("https://drive.google.com/open?id=1OLTXvouvi1V3edUVi2rif9lq61BSCYEl","Договор")</f>
        <v>Договор</v>
      </c>
      <c r="S452" s="46"/>
      <c r="T452" s="46"/>
      <c r="U452" s="5"/>
    </row>
    <row r="453" spans="1:21" ht="78.75">
      <c r="A453" s="46">
        <v>440</v>
      </c>
      <c r="B453" s="46" t="s">
        <v>20</v>
      </c>
      <c r="C453" s="46" t="s">
        <v>504</v>
      </c>
      <c r="D453" s="46" t="s">
        <v>21</v>
      </c>
      <c r="E453" s="117" t="s">
        <v>2163</v>
      </c>
      <c r="F453" s="48" t="s">
        <v>2164</v>
      </c>
      <c r="G453" s="120" t="s">
        <v>2165</v>
      </c>
      <c r="H453" s="90" t="s">
        <v>2166</v>
      </c>
      <c r="I453" s="48">
        <v>42779</v>
      </c>
      <c r="J453" s="50">
        <v>335120.75</v>
      </c>
      <c r="K453" s="97">
        <v>284000.64000000001</v>
      </c>
      <c r="L453" s="51"/>
      <c r="M453" s="48" t="s">
        <v>265</v>
      </c>
      <c r="N453" s="48" t="s">
        <v>173</v>
      </c>
      <c r="O453" s="46" t="s">
        <v>174</v>
      </c>
      <c r="P453" s="52">
        <v>4345265453</v>
      </c>
      <c r="Q453" s="53" t="s">
        <v>2167</v>
      </c>
      <c r="R453" s="58" t="str">
        <f>HYPERLINK("https://drive.google.com/open?id=1cbNGDXYCKi--JEvCdNUfJIwOQk9xrv7I","Договор")</f>
        <v>Договор</v>
      </c>
      <c r="S453" s="46"/>
      <c r="T453" s="46"/>
      <c r="U453" s="5"/>
    </row>
    <row r="454" spans="1:21" ht="78.75">
      <c r="A454" s="46">
        <v>441</v>
      </c>
      <c r="B454" s="46" t="s">
        <v>20</v>
      </c>
      <c r="C454" s="46" t="s">
        <v>504</v>
      </c>
      <c r="D454" s="46" t="s">
        <v>21</v>
      </c>
      <c r="E454" s="117" t="s">
        <v>2168</v>
      </c>
      <c r="F454" s="48" t="s">
        <v>2169</v>
      </c>
      <c r="G454" s="120" t="s">
        <v>2170</v>
      </c>
      <c r="H454" s="90" t="s">
        <v>2171</v>
      </c>
      <c r="I454" s="48">
        <v>42779</v>
      </c>
      <c r="J454" s="50">
        <v>413268.02</v>
      </c>
      <c r="K454" s="97">
        <v>350227.14</v>
      </c>
      <c r="L454" s="51"/>
      <c r="M454" s="48" t="s">
        <v>265</v>
      </c>
      <c r="N454" s="48" t="s">
        <v>173</v>
      </c>
      <c r="O454" s="46" t="s">
        <v>174</v>
      </c>
      <c r="P454" s="52">
        <v>4345265453</v>
      </c>
      <c r="Q454" s="53" t="s">
        <v>2172</v>
      </c>
      <c r="R454" s="58" t="str">
        <f>HYPERLINK("https://drive.google.com/open?id=1XYm6Du5fbC8UiBEbFdiBlS_fyGZqcSdN","Договор")</f>
        <v>Договор</v>
      </c>
      <c r="S454" s="46"/>
      <c r="T454" s="46"/>
      <c r="U454" s="5"/>
    </row>
    <row r="455" spans="1:21" ht="78.75">
      <c r="A455" s="46">
        <v>442</v>
      </c>
      <c r="B455" s="46" t="s">
        <v>20</v>
      </c>
      <c r="C455" s="46" t="s">
        <v>504</v>
      </c>
      <c r="D455" s="46" t="s">
        <v>21</v>
      </c>
      <c r="E455" s="117" t="s">
        <v>2173</v>
      </c>
      <c r="F455" s="48" t="s">
        <v>2174</v>
      </c>
      <c r="G455" s="120" t="s">
        <v>2175</v>
      </c>
      <c r="H455" s="90" t="s">
        <v>2171</v>
      </c>
      <c r="I455" s="48">
        <v>42779</v>
      </c>
      <c r="J455" s="50">
        <v>404746.55</v>
      </c>
      <c r="K455" s="97">
        <v>343005.55</v>
      </c>
      <c r="L455" s="51"/>
      <c r="M455" s="48" t="s">
        <v>265</v>
      </c>
      <c r="N455" s="48" t="s">
        <v>173</v>
      </c>
      <c r="O455" s="46" t="s">
        <v>174</v>
      </c>
      <c r="P455" s="52">
        <v>4345265453</v>
      </c>
      <c r="Q455" s="53" t="s">
        <v>2176</v>
      </c>
      <c r="R455" s="58" t="str">
        <f>HYPERLINK("https://drive.google.com/open?id=1z2wPh_giqWWBgjHCTn3AdodJp9oBJ1ND","Договор")</f>
        <v>Договор</v>
      </c>
      <c r="S455" s="46"/>
      <c r="T455" s="46"/>
      <c r="U455" s="5"/>
    </row>
    <row r="456" spans="1:21" ht="78.75">
      <c r="A456" s="46">
        <v>443</v>
      </c>
      <c r="B456" s="46" t="s">
        <v>20</v>
      </c>
      <c r="C456" s="46" t="s">
        <v>504</v>
      </c>
      <c r="D456" s="46" t="s">
        <v>21</v>
      </c>
      <c r="E456" s="117" t="s">
        <v>2177</v>
      </c>
      <c r="F456" s="48" t="s">
        <v>2178</v>
      </c>
      <c r="G456" s="120" t="s">
        <v>2179</v>
      </c>
      <c r="H456" s="90" t="s">
        <v>2171</v>
      </c>
      <c r="I456" s="48">
        <v>42779</v>
      </c>
      <c r="J456" s="50">
        <v>449363.32</v>
      </c>
      <c r="K456" s="97">
        <v>380816.37</v>
      </c>
      <c r="L456" s="51"/>
      <c r="M456" s="48" t="s">
        <v>265</v>
      </c>
      <c r="N456" s="48" t="s">
        <v>173</v>
      </c>
      <c r="O456" s="46" t="s">
        <v>174</v>
      </c>
      <c r="P456" s="52">
        <v>4345265453</v>
      </c>
      <c r="Q456" s="53" t="s">
        <v>2180</v>
      </c>
      <c r="R456" s="58" t="str">
        <f>HYPERLINK("https://drive.google.com/open?id=1poQW8WjEoZ1oegZxlBGAIEm2T8ypnJjs","Договор")</f>
        <v>Договор</v>
      </c>
      <c r="S456" s="46"/>
      <c r="T456" s="46"/>
      <c r="U456" s="5"/>
    </row>
    <row r="457" spans="1:21" ht="78.75">
      <c r="A457" s="46">
        <v>444</v>
      </c>
      <c r="B457" s="46" t="s">
        <v>20</v>
      </c>
      <c r="C457" s="46" t="s">
        <v>504</v>
      </c>
      <c r="D457" s="46" t="s">
        <v>21</v>
      </c>
      <c r="E457" s="117" t="s">
        <v>2181</v>
      </c>
      <c r="F457" s="48" t="s">
        <v>2182</v>
      </c>
      <c r="G457" s="120" t="s">
        <v>2183</v>
      </c>
      <c r="H457" s="90" t="s">
        <v>2171</v>
      </c>
      <c r="I457" s="48">
        <v>42779</v>
      </c>
      <c r="J457" s="50">
        <v>448592.54</v>
      </c>
      <c r="K457" s="97">
        <v>380163.16</v>
      </c>
      <c r="L457" s="51"/>
      <c r="M457" s="48" t="s">
        <v>265</v>
      </c>
      <c r="N457" s="48" t="s">
        <v>173</v>
      </c>
      <c r="O457" s="46" t="s">
        <v>174</v>
      </c>
      <c r="P457" s="52">
        <v>4345265453</v>
      </c>
      <c r="Q457" s="53" t="s">
        <v>2184</v>
      </c>
      <c r="R457" s="58" t="str">
        <f>HYPERLINK("https://drive.google.com/open?id=1bcHxHlDOkwO13Yl9mVhr20RtIUEtxejT","Договор")</f>
        <v>Договор</v>
      </c>
      <c r="S457" s="46"/>
      <c r="T457" s="46"/>
      <c r="U457" s="5"/>
    </row>
    <row r="458" spans="1:21" ht="78.75">
      <c r="A458" s="46">
        <v>445</v>
      </c>
      <c r="B458" s="46" t="s">
        <v>20</v>
      </c>
      <c r="C458" s="46" t="s">
        <v>504</v>
      </c>
      <c r="D458" s="46" t="s">
        <v>21</v>
      </c>
      <c r="E458" s="117" t="s">
        <v>2185</v>
      </c>
      <c r="F458" s="48" t="s">
        <v>2186</v>
      </c>
      <c r="G458" s="120" t="s">
        <v>2187</v>
      </c>
      <c r="H458" s="90" t="s">
        <v>2171</v>
      </c>
      <c r="I458" s="48">
        <v>42779</v>
      </c>
      <c r="J458" s="50">
        <v>431615.31</v>
      </c>
      <c r="K458" s="97">
        <v>365775.68</v>
      </c>
      <c r="L458" s="51"/>
      <c r="M458" s="48" t="s">
        <v>265</v>
      </c>
      <c r="N458" s="48" t="s">
        <v>173</v>
      </c>
      <c r="O458" s="46" t="s">
        <v>174</v>
      </c>
      <c r="P458" s="52">
        <v>4345265453</v>
      </c>
      <c r="Q458" s="53" t="s">
        <v>2188</v>
      </c>
      <c r="R458" s="58" t="str">
        <f>HYPERLINK("https://drive.google.com/open?id=1vHaLEv6TjzR0f2tC7gIpjGCgtxkr_1x8","Договор")</f>
        <v>Договор</v>
      </c>
      <c r="S458" s="46"/>
      <c r="T458" s="46"/>
      <c r="U458" s="5"/>
    </row>
    <row r="459" spans="1:21" ht="63">
      <c r="A459" s="46">
        <v>446</v>
      </c>
      <c r="B459" s="46" t="s">
        <v>20</v>
      </c>
      <c r="C459" s="46" t="s">
        <v>504</v>
      </c>
      <c r="D459" s="46" t="s">
        <v>21</v>
      </c>
      <c r="E459" s="117" t="s">
        <v>2189</v>
      </c>
      <c r="F459" s="48" t="s">
        <v>2190</v>
      </c>
      <c r="G459" s="120" t="s">
        <v>2191</v>
      </c>
      <c r="H459" s="90" t="s">
        <v>2192</v>
      </c>
      <c r="I459" s="48">
        <v>42793</v>
      </c>
      <c r="J459" s="50">
        <v>5263180.71</v>
      </c>
      <c r="K459" s="50">
        <v>4801919.6100000003</v>
      </c>
      <c r="L459" s="51"/>
      <c r="M459" s="48">
        <v>43448</v>
      </c>
      <c r="N459" s="48" t="s">
        <v>115</v>
      </c>
      <c r="O459" s="46" t="s">
        <v>116</v>
      </c>
      <c r="P459" s="52">
        <v>3326000435</v>
      </c>
      <c r="Q459" s="53" t="s">
        <v>2193</v>
      </c>
      <c r="R459" s="58" t="str">
        <f>HYPERLINK("https://drive.google.com/open?id=19jfk_j8Hyma5kJnvBDZMFIJP6nLtpQgp","Договор")</f>
        <v>Договор</v>
      </c>
      <c r="S459" s="54"/>
      <c r="T459" s="54"/>
      <c r="U459" s="54"/>
    </row>
    <row r="460" spans="1:21" ht="94.5">
      <c r="A460" s="46">
        <v>447</v>
      </c>
      <c r="B460" s="46" t="s">
        <v>20</v>
      </c>
      <c r="C460" s="46" t="s">
        <v>504</v>
      </c>
      <c r="D460" s="46" t="s">
        <v>21</v>
      </c>
      <c r="E460" s="117" t="s">
        <v>2194</v>
      </c>
      <c r="F460" s="48" t="s">
        <v>2195</v>
      </c>
      <c r="G460" s="120" t="s">
        <v>2196</v>
      </c>
      <c r="H460" s="80" t="s">
        <v>2197</v>
      </c>
      <c r="I460" s="86">
        <v>43208</v>
      </c>
      <c r="J460" s="50">
        <v>2432982.23</v>
      </c>
      <c r="K460" s="50">
        <v>2238815.2599999998</v>
      </c>
      <c r="L460" s="85"/>
      <c r="M460" s="87">
        <v>43413</v>
      </c>
      <c r="N460" s="53" t="s">
        <v>1322</v>
      </c>
      <c r="O460" s="53" t="s">
        <v>1323</v>
      </c>
      <c r="P460" s="55">
        <v>3326012409</v>
      </c>
      <c r="Q460" s="53" t="s">
        <v>2198</v>
      </c>
      <c r="R460" s="58" t="str">
        <f>HYPERLINK("https://drive.google.com/open?id=1ffl_AhEv0iRIFyu-GHKmEwuHHhS-fZ01","Договор")</f>
        <v>Договор</v>
      </c>
      <c r="S460" s="55"/>
      <c r="T460" s="55"/>
      <c r="U460" s="55"/>
    </row>
    <row r="461" spans="1:21" ht="63">
      <c r="A461" s="55">
        <v>448</v>
      </c>
      <c r="B461" s="53" t="s">
        <v>20</v>
      </c>
      <c r="C461" s="46" t="s">
        <v>504</v>
      </c>
      <c r="D461" s="46" t="s">
        <v>21</v>
      </c>
      <c r="E461" s="118" t="s">
        <v>2199</v>
      </c>
      <c r="F461" s="48" t="s">
        <v>2200</v>
      </c>
      <c r="G461" s="120" t="s">
        <v>2201</v>
      </c>
      <c r="H461" s="90" t="s">
        <v>2202</v>
      </c>
      <c r="I461" s="86">
        <v>42885</v>
      </c>
      <c r="J461" s="50">
        <v>2270829.12</v>
      </c>
      <c r="K461" s="50">
        <v>2092334.68</v>
      </c>
      <c r="L461" s="85"/>
      <c r="M461" s="87">
        <v>43444</v>
      </c>
      <c r="N461" s="53" t="s">
        <v>624</v>
      </c>
      <c r="O461" s="53" t="s">
        <v>625</v>
      </c>
      <c r="P461" s="55">
        <v>3328457763</v>
      </c>
      <c r="Q461" s="53" t="s">
        <v>2203</v>
      </c>
      <c r="R461" s="58" t="str">
        <f>HYPERLINK("https://drive.google.com/open?id=1n2z1BILv74NgVxKwP4iXT-6UbhYaVDg_","Договор")</f>
        <v>Договор</v>
      </c>
      <c r="S461" s="55"/>
      <c r="T461" s="55"/>
      <c r="U461" s="55"/>
    </row>
    <row r="462" spans="1:21" ht="63">
      <c r="A462" s="55">
        <v>449</v>
      </c>
      <c r="B462" s="53" t="s">
        <v>20</v>
      </c>
      <c r="C462" s="46" t="s">
        <v>504</v>
      </c>
      <c r="D462" s="46" t="s">
        <v>21</v>
      </c>
      <c r="E462" s="118" t="s">
        <v>2204</v>
      </c>
      <c r="F462" s="48" t="s">
        <v>2205</v>
      </c>
      <c r="G462" s="120" t="s">
        <v>2206</v>
      </c>
      <c r="H462" s="90" t="s">
        <v>2207</v>
      </c>
      <c r="I462" s="86">
        <v>42885</v>
      </c>
      <c r="J462" s="50">
        <v>2135329.65</v>
      </c>
      <c r="K462" s="50">
        <v>1970144.3</v>
      </c>
      <c r="L462" s="85"/>
      <c r="M462" s="87">
        <v>43437</v>
      </c>
      <c r="N462" s="53" t="s">
        <v>624</v>
      </c>
      <c r="O462" s="53" t="s">
        <v>625</v>
      </c>
      <c r="P462" s="55">
        <v>3328457763</v>
      </c>
      <c r="Q462" s="53" t="s">
        <v>2208</v>
      </c>
      <c r="R462" s="58" t="str">
        <f>HYPERLINK("https://drive.google.com/open?id=18gDXs8V0s_PsniyR9HiDZFcJgAHxX9gI","Договор")</f>
        <v>Договор</v>
      </c>
      <c r="S462" s="55"/>
      <c r="T462" s="55"/>
      <c r="U462" s="55"/>
    </row>
    <row r="463" spans="1:21" ht="78.75">
      <c r="A463" s="46">
        <v>450</v>
      </c>
      <c r="B463" s="46" t="s">
        <v>20</v>
      </c>
      <c r="C463" s="46" t="s">
        <v>504</v>
      </c>
      <c r="D463" s="46" t="s">
        <v>21</v>
      </c>
      <c r="E463" s="117" t="s">
        <v>2209</v>
      </c>
      <c r="F463" s="48" t="s">
        <v>2210</v>
      </c>
      <c r="G463" s="120" t="s">
        <v>2211</v>
      </c>
      <c r="H463" s="90" t="s">
        <v>2166</v>
      </c>
      <c r="I463" s="48">
        <v>42779</v>
      </c>
      <c r="J463" s="50">
        <v>295867.33</v>
      </c>
      <c r="K463" s="97">
        <v>250735.02</v>
      </c>
      <c r="L463" s="51"/>
      <c r="M463" s="48" t="s">
        <v>265</v>
      </c>
      <c r="N463" s="48" t="s">
        <v>173</v>
      </c>
      <c r="O463" s="46" t="s">
        <v>174</v>
      </c>
      <c r="P463" s="52">
        <v>4345265453</v>
      </c>
      <c r="Q463" s="53" t="s">
        <v>2212</v>
      </c>
      <c r="R463" s="58" t="str">
        <f>HYPERLINK("https://drive.google.com/open?id=1klJ915Nwd_ApTLntc9Zua2fcXMwAe-bx","Договор")</f>
        <v>Договор</v>
      </c>
      <c r="S463" s="46"/>
      <c r="T463" s="46"/>
    </row>
    <row r="464" spans="1:21" ht="94.5">
      <c r="A464" s="46">
        <v>451</v>
      </c>
      <c r="B464" s="46" t="s">
        <v>20</v>
      </c>
      <c r="C464" s="46" t="s">
        <v>504</v>
      </c>
      <c r="D464" s="46" t="s">
        <v>21</v>
      </c>
      <c r="E464" s="117" t="s">
        <v>2213</v>
      </c>
      <c r="F464" s="39" t="s">
        <v>2126</v>
      </c>
      <c r="G464" s="48" t="s">
        <v>2214</v>
      </c>
      <c r="H464" s="90" t="s">
        <v>2215</v>
      </c>
      <c r="I464" s="48">
        <v>43208</v>
      </c>
      <c r="J464" s="50">
        <v>2474806.48</v>
      </c>
      <c r="K464" s="50">
        <v>2474806.48</v>
      </c>
      <c r="L464" s="51"/>
      <c r="M464" s="48">
        <v>43446</v>
      </c>
      <c r="N464" s="48" t="s">
        <v>1517</v>
      </c>
      <c r="O464" s="46" t="s">
        <v>1518</v>
      </c>
      <c r="P464" s="52">
        <v>6230053015</v>
      </c>
      <c r="Q464" s="53" t="s">
        <v>1496</v>
      </c>
      <c r="R464" s="58" t="str">
        <f>HYPERLINK("https://drive.google.com/open?id=1Be-wt3bzOBppbci289SVPtcD6wLEQuO0","Договор")</f>
        <v>Договор</v>
      </c>
      <c r="S464" s="104"/>
      <c r="T464" s="104"/>
      <c r="U464" s="104"/>
    </row>
    <row r="465" spans="1:21" ht="126">
      <c r="A465" s="46">
        <v>452</v>
      </c>
      <c r="B465" s="46" t="s">
        <v>20</v>
      </c>
      <c r="C465" s="46" t="s">
        <v>504</v>
      </c>
      <c r="D465" s="46" t="s">
        <v>21</v>
      </c>
      <c r="E465" s="117" t="s">
        <v>2216</v>
      </c>
      <c r="F465" s="39" t="s">
        <v>2094</v>
      </c>
      <c r="G465" s="48" t="s">
        <v>2217</v>
      </c>
      <c r="H465" s="48" t="s">
        <v>2218</v>
      </c>
      <c r="I465" s="48">
        <v>42884</v>
      </c>
      <c r="J465" s="50">
        <v>2007336.93</v>
      </c>
      <c r="K465" s="50">
        <v>1838522.91</v>
      </c>
      <c r="L465" s="51"/>
      <c r="M465" s="39">
        <v>43402</v>
      </c>
      <c r="N465" s="48" t="s">
        <v>1448</v>
      </c>
      <c r="O465" s="46" t="s">
        <v>1449</v>
      </c>
      <c r="P465" s="52">
        <v>3329054260</v>
      </c>
      <c r="Q465" s="53" t="s">
        <v>2219</v>
      </c>
      <c r="R465" s="58" t="str">
        <f>HYPERLINK("https://drive.google.com/open?id=1kyVHQqdmcP9Ttr6ycuMDUY1dR5cw-PUJ","Договор")</f>
        <v>Договор</v>
      </c>
      <c r="S465" s="54"/>
      <c r="T465" s="54"/>
      <c r="U465" s="54"/>
    </row>
    <row r="466" spans="1:21" ht="110.25">
      <c r="A466" s="46">
        <v>453</v>
      </c>
      <c r="B466" s="46" t="s">
        <v>20</v>
      </c>
      <c r="C466" s="46" t="s">
        <v>504</v>
      </c>
      <c r="D466" s="46" t="s">
        <v>21</v>
      </c>
      <c r="E466" s="117" t="s">
        <v>2220</v>
      </c>
      <c r="F466" s="39" t="s">
        <v>2221</v>
      </c>
      <c r="G466" s="48" t="s">
        <v>2222</v>
      </c>
      <c r="H466" s="90" t="s">
        <v>2223</v>
      </c>
      <c r="I466" s="61">
        <v>43111</v>
      </c>
      <c r="J466" s="50">
        <v>665580.15</v>
      </c>
      <c r="K466" s="50">
        <v>564050.97</v>
      </c>
      <c r="L466" s="51"/>
      <c r="M466" s="48" t="s">
        <v>2143</v>
      </c>
      <c r="N466" s="48" t="s">
        <v>1155</v>
      </c>
      <c r="O466" s="46" t="s">
        <v>1156</v>
      </c>
      <c r="P466" s="52">
        <v>3307003127</v>
      </c>
      <c r="Q466" s="53" t="s">
        <v>2224</v>
      </c>
      <c r="R466" s="58" t="str">
        <f>HYPERLINK("https://drive.google.com/open?id=1p8ra4yjdUmtaBPgHyOWsFYN09cS3ZknX","Договор")</f>
        <v>Договор</v>
      </c>
      <c r="S466" s="46"/>
      <c r="T466" s="46"/>
      <c r="U466" s="122"/>
    </row>
    <row r="467" spans="1:21" ht="94.5">
      <c r="A467" s="46">
        <v>454</v>
      </c>
      <c r="B467" s="46" t="s">
        <v>20</v>
      </c>
      <c r="C467" s="46" t="s">
        <v>504</v>
      </c>
      <c r="D467" s="46" t="s">
        <v>21</v>
      </c>
      <c r="E467" s="117" t="s">
        <v>2225</v>
      </c>
      <c r="F467" s="39" t="s">
        <v>2226</v>
      </c>
      <c r="G467" s="48" t="s">
        <v>2227</v>
      </c>
      <c r="H467" s="90" t="s">
        <v>2228</v>
      </c>
      <c r="I467" s="61">
        <v>43208</v>
      </c>
      <c r="J467" s="50">
        <v>1872429.83</v>
      </c>
      <c r="K467" s="50">
        <v>1863067.68</v>
      </c>
      <c r="L467" s="51"/>
      <c r="M467" s="48">
        <v>43437</v>
      </c>
      <c r="N467" s="48" t="s">
        <v>2229</v>
      </c>
      <c r="O467" s="46" t="s">
        <v>2230</v>
      </c>
      <c r="P467" s="52">
        <v>3702156244</v>
      </c>
      <c r="Q467" s="53"/>
      <c r="R467" s="58" t="str">
        <f>HYPERLINK("https://drive.google.com/open?id=1BY-ip3szksN6IYaR9Bch2DbW8IfiO85f","Договор")</f>
        <v>Договор</v>
      </c>
      <c r="S467" s="46"/>
      <c r="T467" s="46"/>
      <c r="U467" s="122"/>
    </row>
    <row r="468" spans="1:21" ht="78.75">
      <c r="A468" s="55">
        <v>455</v>
      </c>
      <c r="B468" s="53" t="s">
        <v>20</v>
      </c>
      <c r="C468" s="46" t="s">
        <v>504</v>
      </c>
      <c r="D468" s="60" t="s">
        <v>21</v>
      </c>
      <c r="E468" s="117" t="s">
        <v>2231</v>
      </c>
      <c r="F468" s="39" t="s">
        <v>2232</v>
      </c>
      <c r="G468" s="48" t="s">
        <v>2233</v>
      </c>
      <c r="H468" s="61" t="s">
        <v>2234</v>
      </c>
      <c r="I468" s="79">
        <v>42793</v>
      </c>
      <c r="J468" s="50">
        <v>1596963.76</v>
      </c>
      <c r="K468" s="50">
        <v>1469266.82</v>
      </c>
      <c r="L468" s="85"/>
      <c r="M468" s="87">
        <v>43426</v>
      </c>
      <c r="N468" s="53" t="s">
        <v>641</v>
      </c>
      <c r="O468" s="53" t="s">
        <v>642</v>
      </c>
      <c r="P468" s="55">
        <v>3304018728</v>
      </c>
      <c r="Q468" s="53" t="s">
        <v>2235</v>
      </c>
      <c r="R468" s="58" t="str">
        <f>HYPERLINK("https://drive.google.com/open?id=1rjjm-rJoy_lASPZIZ4lXAovke1EN7M2B","Договор")</f>
        <v>Договор</v>
      </c>
      <c r="S468" s="55"/>
      <c r="T468" s="55"/>
      <c r="U468" s="55"/>
    </row>
  </sheetData>
  <mergeCells count="2">
    <mergeCell ref="A5:U7"/>
    <mergeCell ref="A1:U4"/>
  </mergeCells>
  <pageMargins left="0.7" right="0.7" top="0.75" bottom="0.75" header="0.3" footer="0.3"/>
  <pageSetup paperSize="9" scale="37"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Маргарита И. Смирнова</dc:creator>
  <cp:lastModifiedBy>aastafev</cp:lastModifiedBy>
  <cp:lastPrinted>2017-02-17T06:34:32Z</cp:lastPrinted>
  <dcterms:created xsi:type="dcterms:W3CDTF">2017-02-16T15:26:49Z</dcterms:created>
  <dcterms:modified xsi:type="dcterms:W3CDTF">2018-10-05T13:05:34Z</dcterms:modified>
</cp:coreProperties>
</file>